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5.xml" ContentType="application/vnd.openxmlformats-officedocument.drawing+xml"/>
  <Override PartName="/xl/comments2.xml" ContentType="application/vnd.openxmlformats-officedocument.spreadsheetml.comments+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omments3.xml" ContentType="application/vnd.openxmlformats-officedocument.spreadsheetml.comments+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7.xml" ContentType="application/vnd.openxmlformats-officedocument.drawing+xml"/>
  <Override PartName="/xl/charts/chart16.xml" ContentType="application/vnd.openxmlformats-officedocument.drawingml.chart+xml"/>
  <Override PartName="/xl/drawings/drawing8.xml" ContentType="application/vnd.openxmlformats-officedocument.drawing+xml"/>
  <Override PartName="/xl/charts/chart17.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C:\Users\mluciafu\OneDrive - The Mosaic Company\Desktop\EHS\12. PMO\2. Saúde\PGS_MOS_EHS_203_ok\SESuite_files_2025-04-07\"/>
    </mc:Choice>
  </mc:AlternateContent>
  <xr:revisionPtr revIDLastSave="0" documentId="13_ncr:1_{AE45B1E3-EED0-4F24-BE88-113B1D7DB966}" xr6:coauthVersionLast="47" xr6:coauthVersionMax="47" xr10:uidLastSave="{00000000-0000-0000-0000-000000000000}"/>
  <bookViews>
    <workbookView xWindow="28680" yWindow="-120" windowWidth="29040" windowHeight="15840" firstSheet="1" activeTab="12" xr2:uid="{00000000-000D-0000-FFFF-FFFF00000000}"/>
  </bookViews>
  <sheets>
    <sheet name="Sumario_GHE" sheetId="1" r:id="rId1"/>
    <sheet name="Ruido" sheetId="2" r:id="rId2"/>
    <sheet name="Stat_Ruido" sheetId="7" state="hidden" r:id="rId3"/>
    <sheet name="Calor" sheetId="3" r:id="rId4"/>
    <sheet name="Vibração VCI" sheetId="4" r:id="rId5"/>
    <sheet name="Vibração VMB" sheetId="11" r:id="rId6"/>
    <sheet name="Poeira Mineral - Respirável" sheetId="5" r:id="rId7"/>
    <sheet name="Stat_Silica" sheetId="9" state="hidden" r:id="rId8"/>
    <sheet name="Stat_Poeira" sheetId="8" state="hidden" r:id="rId9"/>
    <sheet name="Poeira Mineral - Total" sheetId="13" r:id="rId10"/>
    <sheet name="PNOS" sheetId="14" r:id="rId11"/>
    <sheet name="Agentes_Quimicos -Quantitativos" sheetId="6" r:id="rId12"/>
    <sheet name="Avaliação Qualitativa" sheetId="12" r:id="rId13"/>
  </sheets>
  <definedNames>
    <definedName name="_xlnm.Print_Area" localSheetId="11">'Agentes_Quimicos -Quantitativos'!$B$2:$M$55</definedName>
    <definedName name="_xlnm.Print_Area" localSheetId="3">Calor!$B$2:$P$22</definedName>
    <definedName name="_xlnm.Print_Area" localSheetId="10">PNOS!$B$2:$O$48</definedName>
    <definedName name="_xlnm.Print_Area" localSheetId="6">'Poeira Mineral - Respirável'!$B$2:$O$62</definedName>
    <definedName name="_xlnm.Print_Area" localSheetId="9">'Poeira Mineral - Total'!$B$2:$O$48</definedName>
    <definedName name="_xlnm.Print_Area" localSheetId="1">Ruido!$B$2:$M$59</definedName>
    <definedName name="_xlnm.Print_Area" localSheetId="0">Sumario_GHE!$B$2:$N$38</definedName>
    <definedName name="_xlnm.Print_Area" localSheetId="4">'Vibração VCI'!$B$2:$S$23</definedName>
    <definedName name="_xlnm.Print_Area" localSheetId="5">'Vibração VMB'!$B$2:$P$21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7" i="14" l="1"/>
  <c r="O29" i="14" s="1"/>
  <c r="O26" i="14"/>
  <c r="B19" i="14"/>
  <c r="O25" i="14" s="1"/>
  <c r="O28" i="14" s="1"/>
  <c r="J21" i="3"/>
  <c r="F10" i="2"/>
  <c r="F11" i="2"/>
  <c r="F12" i="2"/>
  <c r="F13" i="2"/>
  <c r="F14" i="2"/>
  <c r="F15" i="2"/>
  <c r="F16" i="2"/>
  <c r="F17" i="2"/>
  <c r="F18" i="2"/>
  <c r="F19" i="2"/>
  <c r="F9" i="2"/>
  <c r="O27" i="13"/>
  <c r="O29" i="13"/>
  <c r="O26" i="13"/>
  <c r="B19" i="13"/>
  <c r="O25" i="13" s="1"/>
  <c r="O28" i="13" s="1"/>
  <c r="B28" i="2"/>
  <c r="C28" i="2"/>
  <c r="L11" i="2"/>
  <c r="L12" i="2"/>
  <c r="L13" i="2"/>
  <c r="L14" i="2"/>
  <c r="L15" i="2"/>
  <c r="L16" i="2"/>
  <c r="L17" i="2"/>
  <c r="L18" i="2"/>
  <c r="L19" i="2"/>
  <c r="M16" i="2"/>
  <c r="M12" i="2"/>
  <c r="M13" i="2"/>
  <c r="M14" i="2"/>
  <c r="M15" i="2"/>
  <c r="M17" i="2"/>
  <c r="M18" i="2"/>
  <c r="M19" i="2"/>
  <c r="I12" i="2"/>
  <c r="K12" i="2"/>
  <c r="B18" i="11"/>
  <c r="L32" i="2"/>
  <c r="O9" i="2"/>
  <c r="A10" i="9"/>
  <c r="A11" i="9"/>
  <c r="T75" i="9" s="1"/>
  <c r="A12" i="9"/>
  <c r="A13" i="9"/>
  <c r="A14" i="9"/>
  <c r="A78" i="9" s="1"/>
  <c r="J78" i="9" s="1"/>
  <c r="I78" i="9" s="1"/>
  <c r="A15" i="9"/>
  <c r="A16" i="9"/>
  <c r="A80" i="9"/>
  <c r="J80" i="9"/>
  <c r="I80" i="9" s="1"/>
  <c r="A17" i="9"/>
  <c r="T81" i="9"/>
  <c r="A10" i="8"/>
  <c r="A11" i="8"/>
  <c r="A12" i="8"/>
  <c r="A13" i="8"/>
  <c r="A77" i="8"/>
  <c r="J77" i="8" s="1"/>
  <c r="I77" i="8" s="1"/>
  <c r="A14" i="8"/>
  <c r="T78" i="8" s="1"/>
  <c r="A15" i="8"/>
  <c r="A79" i="8" s="1"/>
  <c r="J79" i="8" s="1"/>
  <c r="I79" i="8" s="1"/>
  <c r="A16" i="8"/>
  <c r="M16" i="8" s="1"/>
  <c r="P9" i="2"/>
  <c r="P10" i="2"/>
  <c r="O10" i="2"/>
  <c r="P11" i="2"/>
  <c r="O11" i="2"/>
  <c r="I13" i="2"/>
  <c r="I14" i="2"/>
  <c r="I15" i="2"/>
  <c r="I16" i="2"/>
  <c r="I17" i="2"/>
  <c r="I19" i="2"/>
  <c r="O12" i="2"/>
  <c r="O13" i="2"/>
  <c r="O14" i="2"/>
  <c r="O15" i="2"/>
  <c r="O16" i="2"/>
  <c r="O17" i="2"/>
  <c r="O18" i="2"/>
  <c r="O19" i="2"/>
  <c r="K13" i="2"/>
  <c r="K14" i="2"/>
  <c r="K15" i="2"/>
  <c r="K16" i="2"/>
  <c r="K17" i="2"/>
  <c r="K19" i="2"/>
  <c r="L43" i="6"/>
  <c r="P18" i="2"/>
  <c r="P12" i="2"/>
  <c r="P13" i="2"/>
  <c r="P14" i="2"/>
  <c r="P15" i="2"/>
  <c r="P16" i="2"/>
  <c r="P17" i="2"/>
  <c r="P19" i="2"/>
  <c r="B19" i="5"/>
  <c r="B18" i="4"/>
  <c r="B6" i="8"/>
  <c r="J42" i="8" s="1"/>
  <c r="B6" i="9"/>
  <c r="J46" i="9"/>
  <c r="E10" i="9"/>
  <c r="G10" i="9"/>
  <c r="E11" i="9"/>
  <c r="G11" i="9"/>
  <c r="E12" i="9"/>
  <c r="G12" i="9" s="1"/>
  <c r="E13" i="9"/>
  <c r="G13" i="9"/>
  <c r="E14" i="9"/>
  <c r="G14" i="9"/>
  <c r="E15" i="9"/>
  <c r="G15" i="9"/>
  <c r="E16" i="9"/>
  <c r="G16" i="9" s="1"/>
  <c r="E17" i="9"/>
  <c r="G17" i="9"/>
  <c r="E18" i="9"/>
  <c r="G18" i="9"/>
  <c r="M18" i="9"/>
  <c r="E19" i="9"/>
  <c r="G19" i="9" s="1"/>
  <c r="M19" i="9"/>
  <c r="E20" i="9"/>
  <c r="G20" i="9"/>
  <c r="M20" i="9"/>
  <c r="E21" i="9"/>
  <c r="G21" i="9" s="1"/>
  <c r="M21" i="9"/>
  <c r="E22" i="9"/>
  <c r="G22" i="9"/>
  <c r="M22" i="9"/>
  <c r="M23" i="9"/>
  <c r="M24" i="9"/>
  <c r="M25" i="9"/>
  <c r="M26" i="9"/>
  <c r="M27" i="9"/>
  <c r="M28" i="9"/>
  <c r="M29" i="9"/>
  <c r="M30" i="9"/>
  <c r="M31" i="9"/>
  <c r="M32" i="9"/>
  <c r="M33" i="9"/>
  <c r="M34" i="9"/>
  <c r="M35" i="9"/>
  <c r="M36" i="9"/>
  <c r="M37" i="9"/>
  <c r="M38" i="9"/>
  <c r="M39" i="9"/>
  <c r="M40" i="9"/>
  <c r="M41" i="9"/>
  <c r="M42" i="9"/>
  <c r="M43" i="9"/>
  <c r="M44" i="9"/>
  <c r="M45" i="9"/>
  <c r="M46" i="9"/>
  <c r="M47" i="9"/>
  <c r="M48" i="9"/>
  <c r="M49" i="9"/>
  <c r="M50" i="9"/>
  <c r="M51" i="9"/>
  <c r="M52" i="9"/>
  <c r="M53" i="9"/>
  <c r="M54" i="9"/>
  <c r="M55" i="9"/>
  <c r="M56" i="9"/>
  <c r="M57" i="9"/>
  <c r="M58" i="9"/>
  <c r="M59" i="9"/>
  <c r="H60" i="9"/>
  <c r="I60" i="9"/>
  <c r="K60" i="9"/>
  <c r="N60" i="9"/>
  <c r="M60" i="9"/>
  <c r="A82" i="9"/>
  <c r="J82" i="9" s="1"/>
  <c r="I82" i="9" s="1"/>
  <c r="A83" i="9"/>
  <c r="J83" i="9"/>
  <c r="I83" i="9" s="1"/>
  <c r="AA83" i="9"/>
  <c r="A84" i="9"/>
  <c r="J84" i="9"/>
  <c r="I84" i="9" s="1"/>
  <c r="A85" i="9"/>
  <c r="J85" i="9" s="1"/>
  <c r="I85" i="9" s="1"/>
  <c r="A86" i="9"/>
  <c r="J86" i="9"/>
  <c r="I86" i="9"/>
  <c r="A87" i="9"/>
  <c r="J87" i="9" s="1"/>
  <c r="I87" i="9" s="1"/>
  <c r="A88" i="9"/>
  <c r="J88" i="9"/>
  <c r="I88" i="9" s="1"/>
  <c r="A89" i="9"/>
  <c r="J89" i="9"/>
  <c r="I89" i="9"/>
  <c r="A90" i="9"/>
  <c r="J90" i="9"/>
  <c r="I90" i="9" s="1"/>
  <c r="A91" i="9"/>
  <c r="J91" i="9" s="1"/>
  <c r="I91" i="9" s="1"/>
  <c r="A92" i="9"/>
  <c r="J92" i="9"/>
  <c r="I92" i="9" s="1"/>
  <c r="A93" i="9"/>
  <c r="J93" i="9" s="1"/>
  <c r="I93" i="9" s="1"/>
  <c r="A94" i="9"/>
  <c r="J94" i="9"/>
  <c r="I94" i="9"/>
  <c r="A95" i="9"/>
  <c r="J95" i="9" s="1"/>
  <c r="I95" i="9" s="1"/>
  <c r="A96" i="9"/>
  <c r="J96" i="9"/>
  <c r="I96" i="9" s="1"/>
  <c r="A97" i="9"/>
  <c r="J97" i="9"/>
  <c r="I97" i="9"/>
  <c r="A98" i="9"/>
  <c r="J98" i="9"/>
  <c r="I98" i="9" s="1"/>
  <c r="A99" i="9"/>
  <c r="J99" i="9" s="1"/>
  <c r="I99" i="9" s="1"/>
  <c r="A100" i="9"/>
  <c r="J100" i="9"/>
  <c r="I100" i="9" s="1"/>
  <c r="A101" i="9"/>
  <c r="J101" i="9" s="1"/>
  <c r="I101" i="9" s="1"/>
  <c r="A102" i="9"/>
  <c r="J102" i="9"/>
  <c r="I102" i="9"/>
  <c r="A103" i="9"/>
  <c r="J103" i="9" s="1"/>
  <c r="I103" i="9" s="1"/>
  <c r="A104" i="9"/>
  <c r="J104" i="9"/>
  <c r="I104" i="9" s="1"/>
  <c r="A105" i="9"/>
  <c r="J105" i="9"/>
  <c r="I105" i="9"/>
  <c r="A106" i="9"/>
  <c r="J106" i="9"/>
  <c r="I106" i="9" s="1"/>
  <c r="A107" i="9"/>
  <c r="J107" i="9" s="1"/>
  <c r="I107" i="9" s="1"/>
  <c r="A108" i="9"/>
  <c r="J108" i="9"/>
  <c r="I108" i="9" s="1"/>
  <c r="A109" i="9"/>
  <c r="J109" i="9" s="1"/>
  <c r="I109" i="9" s="1"/>
  <c r="A110" i="9"/>
  <c r="J110" i="9"/>
  <c r="I110" i="9"/>
  <c r="A111" i="9"/>
  <c r="J111" i="9" s="1"/>
  <c r="I111" i="9" s="1"/>
  <c r="A112" i="9"/>
  <c r="J112" i="9"/>
  <c r="I112" i="9" s="1"/>
  <c r="A113" i="9"/>
  <c r="J113" i="9"/>
  <c r="I113" i="9"/>
  <c r="A114" i="9"/>
  <c r="J114" i="9"/>
  <c r="I114" i="9" s="1"/>
  <c r="A115" i="9"/>
  <c r="J115" i="9" s="1"/>
  <c r="I115" i="9" s="1"/>
  <c r="A116" i="9"/>
  <c r="J116" i="9"/>
  <c r="I116" i="9" s="1"/>
  <c r="A117" i="9"/>
  <c r="J117" i="9" s="1"/>
  <c r="I117" i="9" s="1"/>
  <c r="A118" i="9"/>
  <c r="J118" i="9"/>
  <c r="I118" i="9"/>
  <c r="A119" i="9"/>
  <c r="J119" i="9" s="1"/>
  <c r="I119" i="9" s="1"/>
  <c r="A120" i="9"/>
  <c r="J120" i="9"/>
  <c r="I120" i="9" s="1"/>
  <c r="A121" i="9"/>
  <c r="J121" i="9"/>
  <c r="I121" i="9"/>
  <c r="A122" i="9"/>
  <c r="J122" i="9"/>
  <c r="I122" i="9" s="1"/>
  <c r="A123" i="9"/>
  <c r="J123" i="9" s="1"/>
  <c r="I123" i="9" s="1"/>
  <c r="A124" i="9"/>
  <c r="AE132" i="9"/>
  <c r="AE131" i="9" s="1"/>
  <c r="AE130" i="9" s="1"/>
  <c r="AE129" i="9" s="1"/>
  <c r="AE137" i="9"/>
  <c r="AE136" i="9" s="1"/>
  <c r="AE135" i="9" s="1"/>
  <c r="AE134" i="9" s="1"/>
  <c r="AE142" i="9"/>
  <c r="AE141" i="9" s="1"/>
  <c r="AE140" i="9" s="1"/>
  <c r="AE139" i="9" s="1"/>
  <c r="A365" i="9"/>
  <c r="A10" i="7"/>
  <c r="J10" i="7"/>
  <c r="A11" i="7"/>
  <c r="A75" i="7"/>
  <c r="J75" i="7" s="1"/>
  <c r="I75" i="7" s="1"/>
  <c r="A12" i="7"/>
  <c r="J12" i="7"/>
  <c r="A13" i="7"/>
  <c r="J13" i="7"/>
  <c r="A14" i="7"/>
  <c r="J14" i="7"/>
  <c r="A15" i="7"/>
  <c r="A79" i="7"/>
  <c r="J79" i="7" s="1"/>
  <c r="I79" i="7" s="1"/>
  <c r="A16" i="7"/>
  <c r="M16" i="7"/>
  <c r="E10" i="8"/>
  <c r="G10" i="8"/>
  <c r="E11" i="8"/>
  <c r="G11" i="8"/>
  <c r="E12" i="8"/>
  <c r="G12" i="8"/>
  <c r="E13" i="8"/>
  <c r="G13" i="8"/>
  <c r="E14" i="8"/>
  <c r="G14" i="8"/>
  <c r="E15" i="8"/>
  <c r="G15" i="8"/>
  <c r="E16" i="8"/>
  <c r="G16" i="8"/>
  <c r="E17" i="8"/>
  <c r="G17" i="8"/>
  <c r="M17" i="8"/>
  <c r="E18" i="8"/>
  <c r="G18" i="8" s="1"/>
  <c r="M18" i="8"/>
  <c r="E19" i="8"/>
  <c r="G19" i="8"/>
  <c r="M19" i="8"/>
  <c r="E20" i="8"/>
  <c r="G20" i="8"/>
  <c r="M20" i="8"/>
  <c r="E21" i="8"/>
  <c r="G21" i="8"/>
  <c r="M21" i="8"/>
  <c r="E22" i="8"/>
  <c r="G22" i="8" s="1"/>
  <c r="M22" i="8"/>
  <c r="M23" i="8"/>
  <c r="M24" i="8"/>
  <c r="M25" i="8"/>
  <c r="M26" i="8"/>
  <c r="M27" i="8"/>
  <c r="M28" i="8"/>
  <c r="M29" i="8"/>
  <c r="M30" i="8"/>
  <c r="M31" i="8"/>
  <c r="M32" i="8"/>
  <c r="M33" i="8"/>
  <c r="M34" i="8"/>
  <c r="M35" i="8"/>
  <c r="M36" i="8"/>
  <c r="M37" i="8"/>
  <c r="M38" i="8"/>
  <c r="M39" i="8"/>
  <c r="M40" i="8"/>
  <c r="M41" i="8"/>
  <c r="M42" i="8"/>
  <c r="M43" i="8"/>
  <c r="M44" i="8"/>
  <c r="M45" i="8"/>
  <c r="M46" i="8"/>
  <c r="M47" i="8"/>
  <c r="M48" i="8"/>
  <c r="M49" i="8"/>
  <c r="M50" i="8"/>
  <c r="M51" i="8"/>
  <c r="M52" i="8"/>
  <c r="M53" i="8"/>
  <c r="M54" i="8"/>
  <c r="M55" i="8"/>
  <c r="M56" i="8"/>
  <c r="M57" i="8"/>
  <c r="M58" i="8"/>
  <c r="M59" i="8"/>
  <c r="H60" i="8"/>
  <c r="I60" i="8"/>
  <c r="K60" i="8"/>
  <c r="N60" i="8"/>
  <c r="M60" i="8"/>
  <c r="A81" i="8"/>
  <c r="J81" i="8"/>
  <c r="I81" i="8" s="1"/>
  <c r="A82" i="8"/>
  <c r="J82" i="8" s="1"/>
  <c r="I82" i="8" s="1"/>
  <c r="A83" i="8"/>
  <c r="J83" i="8"/>
  <c r="I83" i="8" s="1"/>
  <c r="AA83" i="8"/>
  <c r="A84" i="8"/>
  <c r="J84" i="8"/>
  <c r="I84" i="8" s="1"/>
  <c r="A85" i="8"/>
  <c r="J85" i="8"/>
  <c r="I85" i="8"/>
  <c r="A86" i="8"/>
  <c r="J86" i="8"/>
  <c r="I86" i="8" s="1"/>
  <c r="A87" i="8"/>
  <c r="J87" i="8" s="1"/>
  <c r="I87" i="8" s="1"/>
  <c r="A88" i="8"/>
  <c r="J88" i="8"/>
  <c r="I88" i="8" s="1"/>
  <c r="A89" i="8"/>
  <c r="J89" i="8" s="1"/>
  <c r="I89" i="8" s="1"/>
  <c r="A90" i="8"/>
  <c r="J90" i="8"/>
  <c r="I90" i="8"/>
  <c r="A91" i="8"/>
  <c r="J91" i="8" s="1"/>
  <c r="I91" i="8" s="1"/>
  <c r="A92" i="8"/>
  <c r="J92" i="8"/>
  <c r="I92" i="8" s="1"/>
  <c r="A93" i="8"/>
  <c r="J93" i="8"/>
  <c r="I93" i="8"/>
  <c r="A94" i="8"/>
  <c r="J94" i="8"/>
  <c r="I94" i="8" s="1"/>
  <c r="A95" i="8"/>
  <c r="J95" i="8" s="1"/>
  <c r="I95" i="8" s="1"/>
  <c r="A96" i="8"/>
  <c r="J96" i="8"/>
  <c r="I96" i="8" s="1"/>
  <c r="A97" i="8"/>
  <c r="J97" i="8" s="1"/>
  <c r="I97" i="8" s="1"/>
  <c r="A98" i="8"/>
  <c r="J98" i="8"/>
  <c r="I98" i="8"/>
  <c r="A99" i="8"/>
  <c r="J99" i="8" s="1"/>
  <c r="I99" i="8" s="1"/>
  <c r="A100" i="8"/>
  <c r="J100" i="8"/>
  <c r="I100" i="8" s="1"/>
  <c r="A101" i="8"/>
  <c r="J101" i="8"/>
  <c r="I101" i="8"/>
  <c r="A102" i="8"/>
  <c r="J102" i="8"/>
  <c r="I102" i="8" s="1"/>
  <c r="A103" i="8"/>
  <c r="J103" i="8" s="1"/>
  <c r="I103" i="8" s="1"/>
  <c r="A104" i="8"/>
  <c r="J104" i="8"/>
  <c r="I104" i="8" s="1"/>
  <c r="A105" i="8"/>
  <c r="J105" i="8" s="1"/>
  <c r="I105" i="8" s="1"/>
  <c r="A106" i="8"/>
  <c r="J106" i="8"/>
  <c r="I106" i="8"/>
  <c r="A107" i="8"/>
  <c r="J107" i="8" s="1"/>
  <c r="I107" i="8" s="1"/>
  <c r="A108" i="8"/>
  <c r="J108" i="8"/>
  <c r="I108" i="8" s="1"/>
  <c r="A109" i="8"/>
  <c r="J109" i="8"/>
  <c r="I109" i="8"/>
  <c r="A110" i="8"/>
  <c r="J110" i="8"/>
  <c r="I110" i="8" s="1"/>
  <c r="A111" i="8"/>
  <c r="J111" i="8" s="1"/>
  <c r="I111" i="8" s="1"/>
  <c r="A112" i="8"/>
  <c r="J112" i="8"/>
  <c r="I112" i="8" s="1"/>
  <c r="A113" i="8"/>
  <c r="J113" i="8" s="1"/>
  <c r="I113" i="8" s="1"/>
  <c r="A114" i="8"/>
  <c r="J114" i="8"/>
  <c r="I114" i="8"/>
  <c r="A115" i="8"/>
  <c r="J115" i="8" s="1"/>
  <c r="I115" i="8" s="1"/>
  <c r="A116" i="8"/>
  <c r="J116" i="8"/>
  <c r="I116" i="8" s="1"/>
  <c r="A117" i="8"/>
  <c r="J117" i="8"/>
  <c r="I117" i="8"/>
  <c r="A118" i="8"/>
  <c r="J118" i="8"/>
  <c r="I118" i="8" s="1"/>
  <c r="A119" i="8"/>
  <c r="J119" i="8" s="1"/>
  <c r="I119" i="8" s="1"/>
  <c r="A120" i="8"/>
  <c r="J120" i="8"/>
  <c r="I120" i="8" s="1"/>
  <c r="A121" i="8"/>
  <c r="J121" i="8" s="1"/>
  <c r="I121" i="8" s="1"/>
  <c r="A122" i="8"/>
  <c r="J122" i="8"/>
  <c r="I122" i="8"/>
  <c r="A123" i="8"/>
  <c r="J123" i="8" s="1"/>
  <c r="I123" i="8" s="1"/>
  <c r="A124" i="8"/>
  <c r="AE132" i="8"/>
  <c r="AE131" i="8" s="1"/>
  <c r="AE130" i="8" s="1"/>
  <c r="AE129" i="8" s="1"/>
  <c r="AE137" i="8"/>
  <c r="AE136" i="8" s="1"/>
  <c r="AE135" i="8" s="1"/>
  <c r="AE134" i="8" s="1"/>
  <c r="AE142" i="8"/>
  <c r="AE141" i="8" s="1"/>
  <c r="AE140" i="8" s="1"/>
  <c r="AE139" i="8" s="1"/>
  <c r="A365" i="8"/>
  <c r="E10" i="7"/>
  <c r="G10" i="7"/>
  <c r="E11" i="7"/>
  <c r="G11" i="7"/>
  <c r="E12" i="7"/>
  <c r="G12" i="7"/>
  <c r="E13" i="7"/>
  <c r="G13" i="7"/>
  <c r="E14" i="7"/>
  <c r="G14" i="7"/>
  <c r="E15" i="7"/>
  <c r="G15" i="7"/>
  <c r="E16" i="7"/>
  <c r="G16" i="7"/>
  <c r="E17" i="7"/>
  <c r="G17" i="7"/>
  <c r="J17" i="7"/>
  <c r="M17" i="7"/>
  <c r="E18" i="7"/>
  <c r="G18" i="7"/>
  <c r="J18" i="7"/>
  <c r="M18" i="7"/>
  <c r="E19" i="7"/>
  <c r="G19" i="7"/>
  <c r="J19" i="7"/>
  <c r="M19" i="7"/>
  <c r="E20" i="7"/>
  <c r="G20" i="7"/>
  <c r="J20" i="7"/>
  <c r="M20" i="7"/>
  <c r="E21" i="7"/>
  <c r="G21" i="7"/>
  <c r="J21" i="7"/>
  <c r="M21" i="7"/>
  <c r="E22" i="7"/>
  <c r="G22" i="7"/>
  <c r="J22" i="7"/>
  <c r="M22" i="7"/>
  <c r="J23" i="7"/>
  <c r="M23" i="7"/>
  <c r="J24" i="7"/>
  <c r="M24" i="7"/>
  <c r="J25" i="7"/>
  <c r="M25" i="7"/>
  <c r="J26" i="7"/>
  <c r="M26" i="7"/>
  <c r="J27" i="7"/>
  <c r="M27" i="7"/>
  <c r="J28" i="7"/>
  <c r="M28" i="7"/>
  <c r="J29" i="7"/>
  <c r="M29" i="7"/>
  <c r="J30" i="7"/>
  <c r="M30" i="7"/>
  <c r="J31" i="7"/>
  <c r="M31" i="7"/>
  <c r="J32" i="7"/>
  <c r="M32" i="7"/>
  <c r="J33" i="7"/>
  <c r="M33" i="7"/>
  <c r="J34" i="7"/>
  <c r="M34" i="7"/>
  <c r="J35" i="7"/>
  <c r="M35" i="7"/>
  <c r="J36" i="7"/>
  <c r="M36" i="7"/>
  <c r="J37" i="7"/>
  <c r="M37" i="7"/>
  <c r="J38" i="7"/>
  <c r="M38" i="7"/>
  <c r="J39" i="7"/>
  <c r="M39" i="7"/>
  <c r="J40" i="7"/>
  <c r="M40" i="7"/>
  <c r="J41" i="7"/>
  <c r="M41" i="7"/>
  <c r="J42" i="7"/>
  <c r="M42" i="7"/>
  <c r="J43" i="7"/>
  <c r="M43" i="7"/>
  <c r="J44" i="7"/>
  <c r="M44" i="7"/>
  <c r="J45" i="7"/>
  <c r="M45" i="7"/>
  <c r="J46" i="7"/>
  <c r="M46" i="7"/>
  <c r="J47" i="7"/>
  <c r="M47" i="7"/>
  <c r="J48" i="7"/>
  <c r="M48" i="7"/>
  <c r="J49" i="7"/>
  <c r="M49" i="7"/>
  <c r="J50" i="7"/>
  <c r="M50" i="7"/>
  <c r="J51" i="7"/>
  <c r="M51" i="7"/>
  <c r="J52" i="7"/>
  <c r="M52" i="7"/>
  <c r="J53" i="7"/>
  <c r="M53" i="7"/>
  <c r="J54" i="7"/>
  <c r="M54" i="7"/>
  <c r="J55" i="7"/>
  <c r="M55" i="7"/>
  <c r="J56" i="7"/>
  <c r="M56" i="7"/>
  <c r="J57" i="7"/>
  <c r="M57" i="7"/>
  <c r="J58" i="7"/>
  <c r="M58" i="7"/>
  <c r="J59" i="7"/>
  <c r="M59" i="7"/>
  <c r="H60" i="7"/>
  <c r="I60" i="7"/>
  <c r="J60" i="7"/>
  <c r="K60" i="7"/>
  <c r="N60" i="7" s="1"/>
  <c r="M60" i="7"/>
  <c r="A81" i="7"/>
  <c r="J81" i="7"/>
  <c r="I81" i="7" s="1"/>
  <c r="A82" i="7"/>
  <c r="J82" i="7" s="1"/>
  <c r="I82" i="7" s="1"/>
  <c r="A83" i="7"/>
  <c r="J83" i="7"/>
  <c r="I83" i="7"/>
  <c r="AA83" i="7"/>
  <c r="A84" i="7"/>
  <c r="J84" i="7"/>
  <c r="I84" i="7" s="1"/>
  <c r="A85" i="7"/>
  <c r="J85" i="7" s="1"/>
  <c r="I85" i="7" s="1"/>
  <c r="A86" i="7"/>
  <c r="J86" i="7"/>
  <c r="I86" i="7" s="1"/>
  <c r="A87" i="7"/>
  <c r="J87" i="7" s="1"/>
  <c r="I87" i="7" s="1"/>
  <c r="A88" i="7"/>
  <c r="J88" i="7"/>
  <c r="I88" i="7"/>
  <c r="A89" i="7"/>
  <c r="J89" i="7" s="1"/>
  <c r="I89" i="7" s="1"/>
  <c r="A90" i="7"/>
  <c r="J90" i="7"/>
  <c r="I90" i="7" s="1"/>
  <c r="A91" i="7"/>
  <c r="J91" i="7"/>
  <c r="I91" i="7"/>
  <c r="A92" i="7"/>
  <c r="J92" i="7"/>
  <c r="I92" i="7" s="1"/>
  <c r="A93" i="7"/>
  <c r="J93" i="7" s="1"/>
  <c r="I93" i="7" s="1"/>
  <c r="A94" i="7"/>
  <c r="J94" i="7"/>
  <c r="I94" i="7" s="1"/>
  <c r="A95" i="7"/>
  <c r="J95" i="7" s="1"/>
  <c r="I95" i="7" s="1"/>
  <c r="A96" i="7"/>
  <c r="J96" i="7"/>
  <c r="I96" i="7"/>
  <c r="A97" i="7"/>
  <c r="J97" i="7" s="1"/>
  <c r="I97" i="7" s="1"/>
  <c r="A98" i="7"/>
  <c r="J98" i="7"/>
  <c r="I98" i="7" s="1"/>
  <c r="A99" i="7"/>
  <c r="J99" i="7"/>
  <c r="I99" i="7"/>
  <c r="A100" i="7"/>
  <c r="J100" i="7"/>
  <c r="I100" i="7" s="1"/>
  <c r="A101" i="7"/>
  <c r="J101" i="7" s="1"/>
  <c r="I101" i="7" s="1"/>
  <c r="A102" i="7"/>
  <c r="J102" i="7"/>
  <c r="I102" i="7" s="1"/>
  <c r="A103" i="7"/>
  <c r="J103" i="7" s="1"/>
  <c r="I103" i="7" s="1"/>
  <c r="A104" i="7"/>
  <c r="J104" i="7"/>
  <c r="I104" i="7"/>
  <c r="A105" i="7"/>
  <c r="J105" i="7" s="1"/>
  <c r="I105" i="7" s="1"/>
  <c r="A106" i="7"/>
  <c r="J106" i="7"/>
  <c r="I106" i="7" s="1"/>
  <c r="A107" i="7"/>
  <c r="J107" i="7"/>
  <c r="I107" i="7"/>
  <c r="A108" i="7"/>
  <c r="J108" i="7"/>
  <c r="I108" i="7" s="1"/>
  <c r="A109" i="7"/>
  <c r="J109" i="7" s="1"/>
  <c r="I109" i="7" s="1"/>
  <c r="A110" i="7"/>
  <c r="J110" i="7"/>
  <c r="I110" i="7" s="1"/>
  <c r="A111" i="7"/>
  <c r="J111" i="7" s="1"/>
  <c r="I111" i="7" s="1"/>
  <c r="A112" i="7"/>
  <c r="J112" i="7"/>
  <c r="I112" i="7"/>
  <c r="A113" i="7"/>
  <c r="J113" i="7" s="1"/>
  <c r="I113" i="7" s="1"/>
  <c r="A114" i="7"/>
  <c r="J114" i="7"/>
  <c r="I114" i="7" s="1"/>
  <c r="A115" i="7"/>
  <c r="J115" i="7"/>
  <c r="I115" i="7"/>
  <c r="A116" i="7"/>
  <c r="J116" i="7"/>
  <c r="I116" i="7" s="1"/>
  <c r="A117" i="7"/>
  <c r="J117" i="7" s="1"/>
  <c r="I117" i="7" s="1"/>
  <c r="A118" i="7"/>
  <c r="J118" i="7"/>
  <c r="I118" i="7" s="1"/>
  <c r="A119" i="7"/>
  <c r="J119" i="7" s="1"/>
  <c r="I119" i="7" s="1"/>
  <c r="A120" i="7"/>
  <c r="J120" i="7"/>
  <c r="I120" i="7"/>
  <c r="A121" i="7"/>
  <c r="J121" i="7" s="1"/>
  <c r="I121" i="7" s="1"/>
  <c r="A122" i="7"/>
  <c r="J122" i="7"/>
  <c r="I122" i="7" s="1"/>
  <c r="A123" i="7"/>
  <c r="J123" i="7"/>
  <c r="I123" i="7"/>
  <c r="A124" i="7"/>
  <c r="AE132" i="7"/>
  <c r="AE131" i="7" s="1"/>
  <c r="AE130" i="7" s="1"/>
  <c r="AE129" i="7" s="1"/>
  <c r="AE137" i="7"/>
  <c r="AE136" i="7"/>
  <c r="AE135" i="7"/>
  <c r="AE134" i="7" s="1"/>
  <c r="AE142" i="7"/>
  <c r="AE141" i="7" s="1"/>
  <c r="AE140" i="7" s="1"/>
  <c r="AE139" i="7" s="1"/>
  <c r="J205" i="7"/>
  <c r="A365" i="7"/>
  <c r="J41" i="8"/>
  <c r="J37" i="9"/>
  <c r="J45" i="9"/>
  <c r="A76" i="9"/>
  <c r="J76" i="9"/>
  <c r="I76" i="9" s="1"/>
  <c r="J34" i="8"/>
  <c r="A74" i="8"/>
  <c r="J74" i="8"/>
  <c r="I74" i="8" s="1"/>
  <c r="J47" i="9"/>
  <c r="T77" i="7"/>
  <c r="T80" i="8"/>
  <c r="J29" i="9"/>
  <c r="J48" i="9"/>
  <c r="J19" i="9"/>
  <c r="J58" i="9"/>
  <c r="J12" i="9"/>
  <c r="T76" i="8"/>
  <c r="T76" i="9"/>
  <c r="T78" i="9"/>
  <c r="M17" i="9"/>
  <c r="J13" i="8"/>
  <c r="T77" i="8"/>
  <c r="T74" i="9"/>
  <c r="S74" i="9" s="1"/>
  <c r="K74" i="9" s="1"/>
  <c r="C10" i="9" s="1"/>
  <c r="A74" i="9"/>
  <c r="J74" i="9"/>
  <c r="I74" i="9" s="1"/>
  <c r="A78" i="8"/>
  <c r="J78" i="8" s="1"/>
  <c r="I78" i="8" s="1"/>
  <c r="J17" i="9"/>
  <c r="A81" i="9"/>
  <c r="J81" i="9" s="1"/>
  <c r="I81" i="9" s="1"/>
  <c r="A76" i="8"/>
  <c r="J76" i="8"/>
  <c r="I76" i="8" s="1"/>
  <c r="J37" i="8"/>
  <c r="J57" i="8"/>
  <c r="J19" i="8"/>
  <c r="J45" i="8"/>
  <c r="J56" i="8"/>
  <c r="J12" i="8"/>
  <c r="J58" i="8"/>
  <c r="J38" i="8"/>
  <c r="J53" i="8"/>
  <c r="J54" i="8"/>
  <c r="J23" i="8"/>
  <c r="J20" i="8"/>
  <c r="J17" i="8"/>
  <c r="J205" i="8"/>
  <c r="J35" i="8"/>
  <c r="J18" i="8"/>
  <c r="J29" i="8"/>
  <c r="J60" i="8"/>
  <c r="J49" i="8"/>
  <c r="J59" i="8"/>
  <c r="J32" i="8"/>
  <c r="J55" i="8"/>
  <c r="J44" i="8"/>
  <c r="J31" i="8"/>
  <c r="J36" i="8"/>
  <c r="J50" i="8"/>
  <c r="J51" i="8"/>
  <c r="J24" i="8"/>
  <c r="J46" i="8"/>
  <c r="J28" i="8"/>
  <c r="J48" i="8"/>
  <c r="J27" i="8"/>
  <c r="J25" i="8"/>
  <c r="J33" i="8"/>
  <c r="J26" i="8"/>
  <c r="T77" i="9"/>
  <c r="T83" i="9"/>
  <c r="S83" i="9" s="1"/>
  <c r="K83" i="9" s="1"/>
  <c r="C19" i="9" s="1"/>
  <c r="T94" i="9"/>
  <c r="A77" i="9"/>
  <c r="J77" i="9"/>
  <c r="I77" i="9"/>
  <c r="T89" i="9"/>
  <c r="T84" i="9"/>
  <c r="T80" i="9"/>
  <c r="M16" i="9"/>
  <c r="J16" i="9"/>
  <c r="T74" i="8"/>
  <c r="T107" i="8"/>
  <c r="J10" i="8"/>
  <c r="T92" i="8"/>
  <c r="M13" i="7"/>
  <c r="A77" i="7"/>
  <c r="J77" i="7"/>
  <c r="I77" i="7" s="1"/>
  <c r="T76" i="7"/>
  <c r="A80" i="7"/>
  <c r="J80" i="7"/>
  <c r="I80" i="7"/>
  <c r="T80" i="7"/>
  <c r="J16" i="7"/>
  <c r="M14" i="7"/>
  <c r="A78" i="7"/>
  <c r="J78" i="7" s="1"/>
  <c r="I78" i="7" s="1"/>
  <c r="M15" i="7"/>
  <c r="T79" i="7"/>
  <c r="J15" i="7"/>
  <c r="T75" i="7"/>
  <c r="T78" i="7"/>
  <c r="S78" i="7" s="1"/>
  <c r="K78" i="7" s="1"/>
  <c r="K9" i="2"/>
  <c r="M9" i="2"/>
  <c r="I11" i="2"/>
  <c r="K11" i="2"/>
  <c r="M11" i="2"/>
  <c r="I10" i="2"/>
  <c r="L10" i="2"/>
  <c r="K10" i="2"/>
  <c r="M10" i="2"/>
  <c r="T102" i="7"/>
  <c r="A74" i="7"/>
  <c r="J74" i="7"/>
  <c r="I74" i="7"/>
  <c r="T17" i="7"/>
  <c r="F18" i="7" s="1"/>
  <c r="T106" i="7"/>
  <c r="S106" i="7" s="1"/>
  <c r="K106" i="7" s="1"/>
  <c r="C42" i="7" s="1"/>
  <c r="T121" i="7"/>
  <c r="T124" i="7"/>
  <c r="T120" i="7"/>
  <c r="T123" i="7"/>
  <c r="S123" i="7" s="1"/>
  <c r="K123" i="7" s="1"/>
  <c r="C59" i="7" s="1"/>
  <c r="T117" i="7"/>
  <c r="T115" i="7"/>
  <c r="T99" i="7"/>
  <c r="T89" i="7"/>
  <c r="S89" i="7" s="1"/>
  <c r="K89" i="7" s="1"/>
  <c r="C25" i="7" s="1"/>
  <c r="T81" i="7"/>
  <c r="T11" i="7"/>
  <c r="T37" i="7"/>
  <c r="T95" i="7"/>
  <c r="S95" i="7" s="1"/>
  <c r="K95" i="7" s="1"/>
  <c r="C31" i="7" s="1"/>
  <c r="T91" i="7"/>
  <c r="J11" i="7"/>
  <c r="T110" i="7"/>
  <c r="T104" i="7"/>
  <c r="S104" i="7" s="1"/>
  <c r="K104" i="7" s="1"/>
  <c r="C40" i="7" s="1"/>
  <c r="T105" i="7"/>
  <c r="T108" i="7"/>
  <c r="T92" i="7"/>
  <c r="T107" i="7"/>
  <c r="T10" i="7"/>
  <c r="P92" i="7" s="1"/>
  <c r="O92" i="7" s="1"/>
  <c r="T87" i="7"/>
  <c r="T74" i="7"/>
  <c r="T94" i="7"/>
  <c r="A76" i="7"/>
  <c r="J76" i="7"/>
  <c r="I76" i="7" s="1"/>
  <c r="T118" i="7"/>
  <c r="T122" i="7"/>
  <c r="T13" i="7"/>
  <c r="T114" i="7"/>
  <c r="T101" i="7"/>
  <c r="T98" i="7"/>
  <c r="T103" i="7"/>
  <c r="T113" i="7"/>
  <c r="T97" i="7"/>
  <c r="T96" i="7"/>
  <c r="T82" i="7"/>
  <c r="T109" i="7"/>
  <c r="T100" i="7"/>
  <c r="T12" i="7"/>
  <c r="T88" i="7"/>
  <c r="T119" i="7"/>
  <c r="T90" i="7"/>
  <c r="T84" i="7"/>
  <c r="T93" i="7"/>
  <c r="T111" i="7"/>
  <c r="T86" i="7"/>
  <c r="T83" i="7"/>
  <c r="T112" i="7"/>
  <c r="T116" i="7"/>
  <c r="T85" i="7"/>
  <c r="T16" i="7"/>
  <c r="I9" i="2"/>
  <c r="L9" i="2"/>
  <c r="M13" i="8"/>
  <c r="M12" i="8"/>
  <c r="M14" i="8"/>
  <c r="M10" i="8"/>
  <c r="M10" i="9"/>
  <c r="M12" i="9"/>
  <c r="M14" i="9"/>
  <c r="M13" i="9"/>
  <c r="M11" i="7"/>
  <c r="M12" i="7"/>
  <c r="F13" i="7"/>
  <c r="F17" i="7"/>
  <c r="L33" i="2"/>
  <c r="T26" i="7"/>
  <c r="M10" i="7"/>
  <c r="N120" i="7"/>
  <c r="H56" i="7" s="1"/>
  <c r="N83" i="7"/>
  <c r="P102" i="7"/>
  <c r="O102" i="7" s="1"/>
  <c r="I38" i="7" s="1"/>
  <c r="B365" i="7"/>
  <c r="P116" i="7"/>
  <c r="O116" i="7" s="1"/>
  <c r="I52" i="7" s="1"/>
  <c r="N94" i="7"/>
  <c r="H30" i="7" s="1"/>
  <c r="I28" i="7"/>
  <c r="N82" i="7"/>
  <c r="K18" i="7" s="1"/>
  <c r="N18" i="7" s="1"/>
  <c r="P98" i="7"/>
  <c r="O98" i="7" s="1"/>
  <c r="I34" i="7" s="1"/>
  <c r="P123" i="7"/>
  <c r="O123" i="7" s="1"/>
  <c r="I59" i="7" s="1"/>
  <c r="P101" i="7"/>
  <c r="O101" i="7" s="1"/>
  <c r="I37" i="7" s="1"/>
  <c r="N96" i="7"/>
  <c r="K32" i="7" s="1"/>
  <c r="N32" i="7" s="1"/>
  <c r="N79" i="7"/>
  <c r="C14" i="7"/>
  <c r="P109" i="7"/>
  <c r="O109" i="7" s="1"/>
  <c r="I45" i="7" s="1"/>
  <c r="N115" i="7"/>
  <c r="H51" i="7" s="1"/>
  <c r="P104" i="7"/>
  <c r="O104" i="7" s="1"/>
  <c r="I40" i="7" s="1"/>
  <c r="S105" i="7"/>
  <c r="K105" i="7"/>
  <c r="C41" i="7" s="1"/>
  <c r="S81" i="7"/>
  <c r="K81" i="7" s="1"/>
  <c r="C17" i="7" s="1"/>
  <c r="T29" i="7"/>
  <c r="L37" i="2"/>
  <c r="T28" i="7"/>
  <c r="K30" i="7"/>
  <c r="N30" i="7" s="1"/>
  <c r="K56" i="7"/>
  <c r="N56" i="7" s="1"/>
  <c r="A75" i="8"/>
  <c r="J75" i="8"/>
  <c r="I75" i="8" s="1"/>
  <c r="T108" i="8"/>
  <c r="T84" i="8"/>
  <c r="T111" i="8"/>
  <c r="T112" i="8"/>
  <c r="T119" i="8"/>
  <c r="T10" i="8"/>
  <c r="S95" i="8" s="1"/>
  <c r="T103" i="8"/>
  <c r="T99" i="8"/>
  <c r="T89" i="8"/>
  <c r="S89" i="8" s="1"/>
  <c r="K89" i="8" s="1"/>
  <c r="C25" i="8" s="1"/>
  <c r="T123" i="8"/>
  <c r="T82" i="8"/>
  <c r="S82" i="8" s="1"/>
  <c r="K82" i="8" s="1"/>
  <c r="C18" i="8" s="1"/>
  <c r="T114" i="8"/>
  <c r="S114" i="8" s="1"/>
  <c r="K114" i="8" s="1"/>
  <c r="C50" i="8"/>
  <c r="T87" i="8"/>
  <c r="S87" i="8" s="1"/>
  <c r="K87" i="8" s="1"/>
  <c r="C23" i="8" s="1"/>
  <c r="T81" i="8"/>
  <c r="S81" i="8" s="1"/>
  <c r="K81" i="8" s="1"/>
  <c r="C17" i="8" s="1"/>
  <c r="T105" i="8"/>
  <c r="T121" i="8"/>
  <c r="S121" i="8"/>
  <c r="K121" i="8" s="1"/>
  <c r="C57" i="8" s="1"/>
  <c r="T118" i="8"/>
  <c r="T95" i="8"/>
  <c r="K95" i="8"/>
  <c r="C31" i="8" s="1"/>
  <c r="T86" i="8"/>
  <c r="S86" i="8" s="1"/>
  <c r="K86" i="8" s="1"/>
  <c r="C22" i="8" s="1"/>
  <c r="T12" i="8"/>
  <c r="T104" i="8"/>
  <c r="S104" i="8" s="1"/>
  <c r="K104" i="8" s="1"/>
  <c r="C40" i="8" s="1"/>
  <c r="T109" i="8"/>
  <c r="T91" i="8"/>
  <c r="S91" i="8" s="1"/>
  <c r="K91" i="8" s="1"/>
  <c r="C27" i="8" s="1"/>
  <c r="T16" i="8"/>
  <c r="M11" i="8"/>
  <c r="T88" i="8"/>
  <c r="S88" i="8" s="1"/>
  <c r="K88" i="8" s="1"/>
  <c r="C24" i="8" s="1"/>
  <c r="T17" i="8"/>
  <c r="F16" i="8"/>
  <c r="T83" i="8"/>
  <c r="S83" i="8" s="1"/>
  <c r="K83" i="8" s="1"/>
  <c r="C19" i="8" s="1"/>
  <c r="T102" i="8"/>
  <c r="S102" i="8"/>
  <c r="K102" i="8" s="1"/>
  <c r="C38" i="8"/>
  <c r="T100" i="8"/>
  <c r="T98" i="8"/>
  <c r="S98" i="8"/>
  <c r="K98" i="8" s="1"/>
  <c r="C34" i="8"/>
  <c r="T13" i="8"/>
  <c r="O41" i="5" s="1"/>
  <c r="T120" i="8"/>
  <c r="T116" i="8"/>
  <c r="T96" i="8"/>
  <c r="S96" i="8" s="1"/>
  <c r="K96" i="8" s="1"/>
  <c r="C32" i="8" s="1"/>
  <c r="T110" i="8"/>
  <c r="S110" i="8"/>
  <c r="K110" i="8" s="1"/>
  <c r="C46" i="8" s="1"/>
  <c r="T11" i="8"/>
  <c r="T113" i="8"/>
  <c r="S113" i="8"/>
  <c r="K113" i="8" s="1"/>
  <c r="C49" i="8" s="1"/>
  <c r="J15" i="9"/>
  <c r="A79" i="9"/>
  <c r="J79" i="9" s="1"/>
  <c r="I79" i="9" s="1"/>
  <c r="T79" i="9"/>
  <c r="S79" i="9"/>
  <c r="K79" i="9"/>
  <c r="C15" i="9"/>
  <c r="M15" i="9"/>
  <c r="T124" i="8"/>
  <c r="T101" i="8"/>
  <c r="S101" i="8"/>
  <c r="K101" i="8" s="1"/>
  <c r="C37" i="8" s="1"/>
  <c r="T94" i="8"/>
  <c r="S94" i="8" s="1"/>
  <c r="K94" i="8" s="1"/>
  <c r="C30" i="8" s="1"/>
  <c r="T10" i="9"/>
  <c r="J15" i="8"/>
  <c r="T115" i="9"/>
  <c r="S115" i="9"/>
  <c r="K115" i="9" s="1"/>
  <c r="C51" i="9" s="1"/>
  <c r="T121" i="9"/>
  <c r="T124" i="9"/>
  <c r="S124" i="9"/>
  <c r="K124" i="9" s="1"/>
  <c r="C60" i="9" s="1"/>
  <c r="S107" i="8"/>
  <c r="K107" i="8"/>
  <c r="C43" i="8" s="1"/>
  <c r="A75" i="9"/>
  <c r="J75" i="9"/>
  <c r="I75" i="9" s="1"/>
  <c r="T107" i="9"/>
  <c r="T123" i="9"/>
  <c r="S123" i="9"/>
  <c r="K123" i="9"/>
  <c r="C59" i="9"/>
  <c r="T98" i="9"/>
  <c r="S98" i="9"/>
  <c r="K98" i="9" s="1"/>
  <c r="C34" i="9" s="1"/>
  <c r="T87" i="9"/>
  <c r="T92" i="9"/>
  <c r="T88" i="9"/>
  <c r="S88" i="9"/>
  <c r="K88" i="9" s="1"/>
  <c r="C24" i="9" s="1"/>
  <c r="T11" i="9"/>
  <c r="T103" i="9"/>
  <c r="S103" i="9" s="1"/>
  <c r="K103" i="9" s="1"/>
  <c r="C39" i="9" s="1"/>
  <c r="T85" i="9"/>
  <c r="S85" i="9"/>
  <c r="K85" i="9"/>
  <c r="C21" i="9" s="1"/>
  <c r="T99" i="9"/>
  <c r="S99" i="9" s="1"/>
  <c r="K99" i="9" s="1"/>
  <c r="C35" i="9" s="1"/>
  <c r="T97" i="9"/>
  <c r="S97" i="9" s="1"/>
  <c r="K97" i="9" s="1"/>
  <c r="C33" i="9" s="1"/>
  <c r="T108" i="9"/>
  <c r="S108" i="9" s="1"/>
  <c r="K108" i="9" s="1"/>
  <c r="C44" i="9" s="1"/>
  <c r="T117" i="9"/>
  <c r="S117" i="9" s="1"/>
  <c r="K117" i="9" s="1"/>
  <c r="C53" i="9" s="1"/>
  <c r="T82" i="9"/>
  <c r="S82" i="9" s="1"/>
  <c r="K82" i="9" s="1"/>
  <c r="C18" i="9" s="1"/>
  <c r="T122" i="9"/>
  <c r="S122" i="9" s="1"/>
  <c r="K122" i="9" s="1"/>
  <c r="C58" i="9" s="1"/>
  <c r="T17" i="9"/>
  <c r="F14" i="9" s="1"/>
  <c r="T110" i="9"/>
  <c r="T12" i="9"/>
  <c r="T120" i="9"/>
  <c r="S120" i="9" s="1"/>
  <c r="K120" i="9" s="1"/>
  <c r="C56" i="9" s="1"/>
  <c r="T114" i="9"/>
  <c r="S114" i="9" s="1"/>
  <c r="K114" i="9" s="1"/>
  <c r="C50" i="9" s="1"/>
  <c r="T101" i="9"/>
  <c r="S101" i="9"/>
  <c r="K101" i="9"/>
  <c r="C37" i="9"/>
  <c r="T102" i="9"/>
  <c r="S102" i="9" s="1"/>
  <c r="K102" i="9" s="1"/>
  <c r="C38" i="9" s="1"/>
  <c r="T106" i="9"/>
  <c r="S106" i="9"/>
  <c r="K106" i="9"/>
  <c r="C42" i="9"/>
  <c r="T104" i="9"/>
  <c r="S104" i="9" s="1"/>
  <c r="K104" i="9" s="1"/>
  <c r="C40" i="9" s="1"/>
  <c r="T86" i="9"/>
  <c r="S86" i="9"/>
  <c r="K86" i="9"/>
  <c r="C22" i="9"/>
  <c r="T118" i="9"/>
  <c r="S118" i="9" s="1"/>
  <c r="K118" i="9" s="1"/>
  <c r="C54" i="9" s="1"/>
  <c r="T109" i="9"/>
  <c r="T119" i="9"/>
  <c r="T105" i="9"/>
  <c r="T100" i="9"/>
  <c r="S100" i="9" s="1"/>
  <c r="K100" i="9" s="1"/>
  <c r="C36" i="9" s="1"/>
  <c r="T113" i="9"/>
  <c r="S113" i="9" s="1"/>
  <c r="K113" i="9" s="1"/>
  <c r="C49" i="9" s="1"/>
  <c r="T95" i="9"/>
  <c r="S95" i="9"/>
  <c r="K95" i="9"/>
  <c r="C31" i="9" s="1"/>
  <c r="T91" i="9"/>
  <c r="T93" i="9"/>
  <c r="S93" i="9"/>
  <c r="K93" i="9" s="1"/>
  <c r="C29" i="9" s="1"/>
  <c r="M11" i="9"/>
  <c r="T122" i="8"/>
  <c r="S122" i="8" s="1"/>
  <c r="K122" i="8" s="1"/>
  <c r="C58" i="8" s="1"/>
  <c r="T97" i="8"/>
  <c r="S80" i="9"/>
  <c r="K80" i="9" s="1"/>
  <c r="C16" i="9"/>
  <c r="T112" i="9"/>
  <c r="S112" i="9" s="1"/>
  <c r="K112" i="9" s="1"/>
  <c r="C48" i="9" s="1"/>
  <c r="T90" i="9"/>
  <c r="S90" i="9" s="1"/>
  <c r="K90" i="9" s="1"/>
  <c r="T96" i="9"/>
  <c r="S96" i="9" s="1"/>
  <c r="K96" i="9" s="1"/>
  <c r="C32" i="9" s="1"/>
  <c r="J11" i="8"/>
  <c r="T85" i="8"/>
  <c r="S85" i="8" s="1"/>
  <c r="K85" i="8" s="1"/>
  <c r="C21" i="8" s="1"/>
  <c r="T117" i="8"/>
  <c r="T90" i="8"/>
  <c r="S90" i="8"/>
  <c r="K90" i="8"/>
  <c r="C26" i="8" s="1"/>
  <c r="T116" i="9"/>
  <c r="S116" i="9"/>
  <c r="K116" i="9" s="1"/>
  <c r="C52" i="9" s="1"/>
  <c r="T111" i="9"/>
  <c r="T16" i="9"/>
  <c r="T13" i="9"/>
  <c r="F12" i="8"/>
  <c r="F20" i="9"/>
  <c r="B359" i="8"/>
  <c r="S74" i="8"/>
  <c r="K74" i="8"/>
  <c r="C10" i="8"/>
  <c r="N77" i="8"/>
  <c r="N96" i="8"/>
  <c r="P90" i="8"/>
  <c r="O90" i="8" s="1"/>
  <c r="I26" i="8" s="1"/>
  <c r="P79" i="8"/>
  <c r="O79" i="8" s="1"/>
  <c r="I15" i="8" s="1"/>
  <c r="N91" i="8"/>
  <c r="H27" i="8" s="1"/>
  <c r="P119" i="8"/>
  <c r="O119" i="8" s="1"/>
  <c r="I55" i="8" s="1"/>
  <c r="P99" i="8"/>
  <c r="O99" i="8"/>
  <c r="I35" i="8" s="1"/>
  <c r="P110" i="8"/>
  <c r="O110" i="8"/>
  <c r="I46" i="8"/>
  <c r="N109" i="8"/>
  <c r="P123" i="8"/>
  <c r="O123" i="8"/>
  <c r="I59" i="8"/>
  <c r="AE83" i="8"/>
  <c r="AE86" i="8" s="1"/>
  <c r="C361" i="8"/>
  <c r="C362" i="8"/>
  <c r="J171" i="8"/>
  <c r="P120" i="8"/>
  <c r="O120" i="8"/>
  <c r="I56" i="8"/>
  <c r="N99" i="8"/>
  <c r="P85" i="8"/>
  <c r="O85" i="8"/>
  <c r="I21" i="8"/>
  <c r="B365" i="8"/>
  <c r="N87" i="8"/>
  <c r="H23" i="8"/>
  <c r="S76" i="8"/>
  <c r="K76" i="8" s="1"/>
  <c r="C12" i="8" s="1"/>
  <c r="N75" i="8"/>
  <c r="H11" i="8" s="1"/>
  <c r="O39" i="5"/>
  <c r="P109" i="8"/>
  <c r="O109" i="8" s="1"/>
  <c r="I45" i="8" s="1"/>
  <c r="P118" i="8"/>
  <c r="O118" i="8" s="1"/>
  <c r="I54" i="8" s="1"/>
  <c r="N103" i="8"/>
  <c r="N112" i="8"/>
  <c r="H48" i="8" s="1"/>
  <c r="P122" i="8"/>
  <c r="O122" i="8" s="1"/>
  <c r="I58" i="8" s="1"/>
  <c r="N74" i="8"/>
  <c r="H10" i="8" s="1"/>
  <c r="T106" i="8"/>
  <c r="S106" i="8" s="1"/>
  <c r="K106" i="8"/>
  <c r="C42" i="8"/>
  <c r="J11" i="9"/>
  <c r="J22" i="8"/>
  <c r="J21" i="8"/>
  <c r="T93" i="8"/>
  <c r="S93" i="8" s="1"/>
  <c r="K93" i="8" s="1"/>
  <c r="C29" i="8" s="1"/>
  <c r="T79" i="8"/>
  <c r="S79" i="8"/>
  <c r="K79" i="8" s="1"/>
  <c r="C15" i="8" s="1"/>
  <c r="J47" i="8"/>
  <c r="J40" i="8"/>
  <c r="J39" i="8"/>
  <c r="J43" i="8"/>
  <c r="S81" i="9"/>
  <c r="K81" i="9" s="1"/>
  <c r="C17" i="9" s="1"/>
  <c r="T115" i="8"/>
  <c r="S115" i="8"/>
  <c r="K115" i="8" s="1"/>
  <c r="C51" i="8" s="1"/>
  <c r="T75" i="8"/>
  <c r="S75" i="8"/>
  <c r="K75" i="8"/>
  <c r="C11" i="8" s="1"/>
  <c r="J52" i="8"/>
  <c r="J30" i="8"/>
  <c r="J23" i="9"/>
  <c r="J205" i="9"/>
  <c r="J21" i="9"/>
  <c r="J60" i="9"/>
  <c r="J53" i="9"/>
  <c r="J54" i="9"/>
  <c r="J38" i="9"/>
  <c r="J31" i="9"/>
  <c r="J25" i="9"/>
  <c r="J36" i="9"/>
  <c r="J44" i="9"/>
  <c r="J41" i="9"/>
  <c r="J43" i="9"/>
  <c r="J35" i="9"/>
  <c r="J28" i="9"/>
  <c r="S109" i="8"/>
  <c r="K109" i="8" s="1"/>
  <c r="C45" i="8" s="1"/>
  <c r="S105" i="9"/>
  <c r="K105" i="9" s="1"/>
  <c r="C41" i="9" s="1"/>
  <c r="S119" i="9"/>
  <c r="K119" i="9"/>
  <c r="C55" i="9"/>
  <c r="S109" i="9"/>
  <c r="K109" i="9" s="1"/>
  <c r="C45" i="9"/>
  <c r="K23" i="8"/>
  <c r="N23" i="8" s="1"/>
  <c r="N78" i="9"/>
  <c r="P98" i="9"/>
  <c r="O98" i="9"/>
  <c r="I34" i="9" s="1"/>
  <c r="P116" i="9"/>
  <c r="O116" i="9"/>
  <c r="I52" i="9"/>
  <c r="N86" i="9"/>
  <c r="P76" i="9"/>
  <c r="O76" i="9"/>
  <c r="I12" i="9"/>
  <c r="N74" i="9"/>
  <c r="P85" i="9"/>
  <c r="O85" i="9"/>
  <c r="I21" i="9"/>
  <c r="P79" i="9"/>
  <c r="O79" i="9" s="1"/>
  <c r="I15" i="9" s="1"/>
  <c r="P121" i="9"/>
  <c r="O121" i="9" s="1"/>
  <c r="I57" i="9" s="1"/>
  <c r="P81" i="9"/>
  <c r="O81" i="9"/>
  <c r="I17" i="9"/>
  <c r="N119" i="9"/>
  <c r="P94" i="9"/>
  <c r="O94" i="9"/>
  <c r="I30" i="9" s="1"/>
  <c r="N110" i="9"/>
  <c r="N103" i="9"/>
  <c r="N109" i="9"/>
  <c r="K45" i="9" s="1"/>
  <c r="N82" i="9"/>
  <c r="S92" i="8"/>
  <c r="K92" i="8"/>
  <c r="C28" i="8" s="1"/>
  <c r="S87" i="9"/>
  <c r="K87" i="9" s="1"/>
  <c r="C23" i="9" s="1"/>
  <c r="S111" i="9"/>
  <c r="K111" i="9" s="1"/>
  <c r="C47" i="9" s="1"/>
  <c r="S92" i="9"/>
  <c r="K92" i="9"/>
  <c r="C28" i="9"/>
  <c r="S110" i="9"/>
  <c r="K110" i="9"/>
  <c r="C46" i="9"/>
  <c r="S91" i="9"/>
  <c r="K91" i="9" s="1"/>
  <c r="C27" i="9" s="1"/>
  <c r="P86" i="9"/>
  <c r="O86" i="9"/>
  <c r="I22" i="9" s="1"/>
  <c r="P113" i="9"/>
  <c r="O113" i="9"/>
  <c r="I49" i="9" s="1"/>
  <c r="P91" i="9"/>
  <c r="O91" i="9"/>
  <c r="I27" i="9"/>
  <c r="P82" i="9"/>
  <c r="O82" i="9" s="1"/>
  <c r="I18" i="9" s="1"/>
  <c r="N93" i="9"/>
  <c r="K29" i="9" s="1"/>
  <c r="P90" i="9"/>
  <c r="O90" i="9" s="1"/>
  <c r="I26" i="9"/>
  <c r="P122" i="9"/>
  <c r="O122" i="9"/>
  <c r="I58" i="9" s="1"/>
  <c r="P106" i="9"/>
  <c r="O106" i="9"/>
  <c r="I42" i="9" s="1"/>
  <c r="N102" i="9"/>
  <c r="N77" i="9"/>
  <c r="N115" i="9"/>
  <c r="H51" i="9"/>
  <c r="N81" i="9"/>
  <c r="K17" i="9"/>
  <c r="N107" i="9"/>
  <c r="N105" i="9"/>
  <c r="N104" i="9"/>
  <c r="S97" i="8"/>
  <c r="K97" i="8"/>
  <c r="C33" i="8"/>
  <c r="C26" i="9"/>
  <c r="S84" i="9"/>
  <c r="K84" i="9" s="1"/>
  <c r="C20" i="9" s="1"/>
  <c r="S117" i="8"/>
  <c r="K117" i="8"/>
  <c r="C53" i="8" s="1"/>
  <c r="S121" i="9"/>
  <c r="K121" i="9" s="1"/>
  <c r="C57" i="9" s="1"/>
  <c r="B359" i="9"/>
  <c r="T15" i="8"/>
  <c r="F20" i="8"/>
  <c r="D74" i="8"/>
  <c r="D77" i="8" s="1"/>
  <c r="F18" i="8"/>
  <c r="F22" i="8"/>
  <c r="F11" i="8"/>
  <c r="S111" i="8"/>
  <c r="K111" i="8" s="1"/>
  <c r="C47" i="8"/>
  <c r="T14" i="8"/>
  <c r="F17" i="9"/>
  <c r="F22" i="9"/>
  <c r="F16" i="9"/>
  <c r="F19" i="9"/>
  <c r="F10" i="9"/>
  <c r="F21" i="9"/>
  <c r="T15" i="9"/>
  <c r="F13" i="9"/>
  <c r="F18" i="9"/>
  <c r="F15" i="9"/>
  <c r="F11" i="9"/>
  <c r="O23" i="5"/>
  <c r="N94" i="9"/>
  <c r="N113" i="9"/>
  <c r="N89" i="9"/>
  <c r="P110" i="9"/>
  <c r="O110" i="9"/>
  <c r="I46" i="9" s="1"/>
  <c r="N97" i="9"/>
  <c r="J204" i="9"/>
  <c r="P112" i="9"/>
  <c r="O112" i="9" s="1"/>
  <c r="I48" i="9" s="1"/>
  <c r="P96" i="9"/>
  <c r="O96" i="9"/>
  <c r="I32" i="9" s="1"/>
  <c r="P100" i="9"/>
  <c r="O100" i="9"/>
  <c r="I36" i="9" s="1"/>
  <c r="N106" i="9"/>
  <c r="P109" i="9"/>
  <c r="O109" i="9" s="1"/>
  <c r="I45" i="9" s="1"/>
  <c r="P92" i="9"/>
  <c r="O92" i="9"/>
  <c r="I28" i="9"/>
  <c r="N101" i="9"/>
  <c r="S78" i="9"/>
  <c r="K78" i="9"/>
  <c r="C14" i="9" s="1"/>
  <c r="P74" i="9"/>
  <c r="O74" i="9" s="1"/>
  <c r="I10" i="9" s="1"/>
  <c r="P99" i="9"/>
  <c r="O99" i="9" s="1"/>
  <c r="I35" i="9" s="1"/>
  <c r="P87" i="9"/>
  <c r="O87" i="9"/>
  <c r="I23" i="9"/>
  <c r="N123" i="9"/>
  <c r="N90" i="9"/>
  <c r="N91" i="9"/>
  <c r="K27" i="9" s="1"/>
  <c r="N76" i="9"/>
  <c r="P78" i="9"/>
  <c r="O78" i="9"/>
  <c r="I14" i="9"/>
  <c r="P75" i="9"/>
  <c r="O75" i="9" s="1"/>
  <c r="I11" i="9" s="1"/>
  <c r="N99" i="9"/>
  <c r="S76" i="9"/>
  <c r="K76" i="9" s="1"/>
  <c r="C12" i="9" s="1"/>
  <c r="N87" i="9"/>
  <c r="N117" i="9"/>
  <c r="P101" i="9"/>
  <c r="O101" i="9"/>
  <c r="I37" i="9"/>
  <c r="N100" i="9"/>
  <c r="W86" i="9"/>
  <c r="AA85" i="9"/>
  <c r="AA92" i="9" s="1"/>
  <c r="P88" i="9"/>
  <c r="O88" i="9" s="1"/>
  <c r="I24" i="9" s="1"/>
  <c r="AE83" i="9"/>
  <c r="AE86" i="9" s="1"/>
  <c r="N120" i="9"/>
  <c r="H56" i="9"/>
  <c r="N84" i="9"/>
  <c r="P104" i="9"/>
  <c r="O104" i="9" s="1"/>
  <c r="I40" i="9" s="1"/>
  <c r="P83" i="9"/>
  <c r="O83" i="9" s="1"/>
  <c r="I19" i="9" s="1"/>
  <c r="P123" i="9"/>
  <c r="O123" i="9"/>
  <c r="I59" i="9"/>
  <c r="P105" i="9"/>
  <c r="O105" i="9"/>
  <c r="I41" i="9"/>
  <c r="N96" i="9"/>
  <c r="S77" i="9"/>
  <c r="K77" i="9"/>
  <c r="C13" i="9"/>
  <c r="N95" i="9"/>
  <c r="N112" i="9"/>
  <c r="N92" i="9"/>
  <c r="H28" i="9"/>
  <c r="P102" i="9"/>
  <c r="O102" i="9" s="1"/>
  <c r="I38" i="9" s="1"/>
  <c r="P114" i="9"/>
  <c r="O114" i="9"/>
  <c r="I50" i="9" s="1"/>
  <c r="C361" i="9"/>
  <c r="C362" i="9"/>
  <c r="N85" i="9"/>
  <c r="P120" i="9"/>
  <c r="O120" i="9"/>
  <c r="I56" i="9" s="1"/>
  <c r="N83" i="9"/>
  <c r="P80" i="9"/>
  <c r="O80" i="9"/>
  <c r="I16" i="9"/>
  <c r="P111" i="9"/>
  <c r="O111" i="9" s="1"/>
  <c r="I47" i="9" s="1"/>
  <c r="N121" i="9"/>
  <c r="K57" i="9" s="1"/>
  <c r="P77" i="9"/>
  <c r="O77" i="9"/>
  <c r="I13" i="9"/>
  <c r="N116" i="9"/>
  <c r="P118" i="9"/>
  <c r="O118" i="9"/>
  <c r="I54" i="9" s="1"/>
  <c r="N114" i="9"/>
  <c r="K50" i="9" s="1"/>
  <c r="N79" i="9"/>
  <c r="P119" i="9"/>
  <c r="O119" i="9"/>
  <c r="I55" i="9" s="1"/>
  <c r="B365" i="9"/>
  <c r="N98" i="9"/>
  <c r="K34" i="9" s="1"/>
  <c r="N34" i="9" s="1"/>
  <c r="P103" i="9"/>
  <c r="O103" i="9" s="1"/>
  <c r="I39" i="9" s="1"/>
  <c r="P97" i="9"/>
  <c r="O97" i="9" s="1"/>
  <c r="I33" i="9" s="1"/>
  <c r="P115" i="9"/>
  <c r="O115" i="9"/>
  <c r="I51" i="9"/>
  <c r="N118" i="9"/>
  <c r="K54" i="9" s="1"/>
  <c r="N54" i="9" s="1"/>
  <c r="P117" i="9"/>
  <c r="O117" i="9" s="1"/>
  <c r="I53" i="9" s="1"/>
  <c r="N80" i="9"/>
  <c r="N75" i="9"/>
  <c r="P93" i="9"/>
  <c r="O93" i="9"/>
  <c r="I29" i="9" s="1"/>
  <c r="P108" i="9"/>
  <c r="O108" i="9"/>
  <c r="I44" i="9" s="1"/>
  <c r="P95" i="9"/>
  <c r="O95" i="9" s="1"/>
  <c r="I31" i="9" s="1"/>
  <c r="N122" i="9"/>
  <c r="K58" i="9" s="1"/>
  <c r="P107" i="9"/>
  <c r="O107" i="9"/>
  <c r="I43" i="9"/>
  <c r="J171" i="9"/>
  <c r="N185" i="9"/>
  <c r="P84" i="9"/>
  <c r="O84" i="9" s="1"/>
  <c r="I20" i="9" s="1"/>
  <c r="N108" i="9"/>
  <c r="P89" i="9"/>
  <c r="O89" i="9"/>
  <c r="I25" i="9" s="1"/>
  <c r="N111" i="9"/>
  <c r="H47" i="9" s="1"/>
  <c r="N88" i="9"/>
  <c r="K24" i="9" s="1"/>
  <c r="N24" i="9" s="1"/>
  <c r="B360" i="9"/>
  <c r="N120" i="8"/>
  <c r="N78" i="8"/>
  <c r="K14" i="8" s="1"/>
  <c r="P80" i="8"/>
  <c r="O80" i="8" s="1"/>
  <c r="I16" i="8"/>
  <c r="P108" i="8"/>
  <c r="O108" i="8" s="1"/>
  <c r="I44" i="8" s="1"/>
  <c r="P89" i="8"/>
  <c r="O89" i="8"/>
  <c r="I25" i="8"/>
  <c r="N106" i="8"/>
  <c r="P74" i="8"/>
  <c r="O74" i="8"/>
  <c r="I10" i="8" s="1"/>
  <c r="N115" i="8"/>
  <c r="N121" i="8"/>
  <c r="P75" i="8"/>
  <c r="O75" i="8"/>
  <c r="I11" i="8" s="1"/>
  <c r="N114" i="8"/>
  <c r="N83" i="8"/>
  <c r="K19" i="8"/>
  <c r="N19" i="8" s="1"/>
  <c r="N82" i="8"/>
  <c r="N95" i="8"/>
  <c r="P84" i="8"/>
  <c r="O84" i="8" s="1"/>
  <c r="I20" i="8" s="1"/>
  <c r="N102" i="8"/>
  <c r="S78" i="8"/>
  <c r="K78" i="8"/>
  <c r="C14" i="8"/>
  <c r="S77" i="8"/>
  <c r="K77" i="8"/>
  <c r="C13" i="8"/>
  <c r="N84" i="8"/>
  <c r="H20" i="8"/>
  <c r="P103" i="8"/>
  <c r="O103" i="8"/>
  <c r="I39" i="8"/>
  <c r="N97" i="8"/>
  <c r="H33" i="8"/>
  <c r="W86" i="8"/>
  <c r="AA85" i="8" s="1"/>
  <c r="AA92" i="8" s="1"/>
  <c r="P91" i="8"/>
  <c r="O91" i="8"/>
  <c r="I27" i="8"/>
  <c r="P95" i="8"/>
  <c r="O95" i="8"/>
  <c r="I31" i="8" s="1"/>
  <c r="N118" i="8"/>
  <c r="P114" i="8"/>
  <c r="O114" i="8"/>
  <c r="I50" i="8"/>
  <c r="P105" i="8"/>
  <c r="O105" i="8" s="1"/>
  <c r="I41" i="8"/>
  <c r="N101" i="8"/>
  <c r="N104" i="8"/>
  <c r="P115" i="8"/>
  <c r="O115" i="8" s="1"/>
  <c r="I51" i="8" s="1"/>
  <c r="P82" i="8"/>
  <c r="O82" i="8" s="1"/>
  <c r="I18" i="8"/>
  <c r="P97" i="8"/>
  <c r="O97" i="8" s="1"/>
  <c r="I33" i="8" s="1"/>
  <c r="N92" i="8"/>
  <c r="H28" i="8"/>
  <c r="P106" i="8"/>
  <c r="O106" i="8" s="1"/>
  <c r="I42" i="8"/>
  <c r="P98" i="8"/>
  <c r="O98" i="8" s="1"/>
  <c r="I34" i="8"/>
  <c r="P92" i="8"/>
  <c r="O92" i="8" s="1"/>
  <c r="I28" i="8" s="1"/>
  <c r="P81" i="8"/>
  <c r="O81" i="8"/>
  <c r="I17" i="8"/>
  <c r="P113" i="8"/>
  <c r="O113" i="8"/>
  <c r="I49" i="8"/>
  <c r="N111" i="8"/>
  <c r="P93" i="8"/>
  <c r="O93" i="8" s="1"/>
  <c r="I29" i="8"/>
  <c r="P101" i="8"/>
  <c r="O101" i="8" s="1"/>
  <c r="I37" i="8"/>
  <c r="P77" i="8"/>
  <c r="O77" i="8"/>
  <c r="I13" i="8"/>
  <c r="P87" i="8"/>
  <c r="O87" i="8"/>
  <c r="I23" i="8"/>
  <c r="N80" i="8"/>
  <c r="N79" i="8"/>
  <c r="K15" i="8" s="1"/>
  <c r="P96" i="8"/>
  <c r="O96" i="8"/>
  <c r="I32" i="8"/>
  <c r="P100" i="8"/>
  <c r="O100" i="8"/>
  <c r="I36" i="8"/>
  <c r="N88" i="8"/>
  <c r="P102" i="8"/>
  <c r="O102" i="8"/>
  <c r="I38" i="8"/>
  <c r="P78" i="8"/>
  <c r="O78" i="8" s="1"/>
  <c r="I14" i="8" s="1"/>
  <c r="N105" i="8"/>
  <c r="H41" i="8" s="1"/>
  <c r="N81" i="8"/>
  <c r="N108" i="8"/>
  <c r="H44" i="8" s="1"/>
  <c r="N117" i="8"/>
  <c r="H53" i="8"/>
  <c r="P83" i="8"/>
  <c r="O83" i="8"/>
  <c r="I19" i="8" s="1"/>
  <c r="N107" i="8"/>
  <c r="N86" i="8"/>
  <c r="H22" i="8" s="1"/>
  <c r="N119" i="8"/>
  <c r="N85" i="8"/>
  <c r="P107" i="8"/>
  <c r="O107" i="8"/>
  <c r="I43" i="8" s="1"/>
  <c r="N113" i="8"/>
  <c r="N90" i="8"/>
  <c r="K26" i="8" s="1"/>
  <c r="N26" i="8" s="1"/>
  <c r="P76" i="8"/>
  <c r="O76" i="8" s="1"/>
  <c r="I12" i="8"/>
  <c r="N98" i="8"/>
  <c r="P88" i="8"/>
  <c r="O88" i="8" s="1"/>
  <c r="I24" i="8" s="1"/>
  <c r="J204" i="8"/>
  <c r="N116" i="8"/>
  <c r="P86" i="8"/>
  <c r="O86" i="8" s="1"/>
  <c r="I22" i="8"/>
  <c r="N76" i="8"/>
  <c r="N94" i="8"/>
  <c r="H30" i="8" s="1"/>
  <c r="P121" i="8"/>
  <c r="O121" i="8"/>
  <c r="I57" i="8"/>
  <c r="N100" i="8"/>
  <c r="N110" i="8"/>
  <c r="H46" i="8" s="1"/>
  <c r="N89" i="8"/>
  <c r="P111" i="8"/>
  <c r="O111" i="8"/>
  <c r="I47" i="8"/>
  <c r="N123" i="8"/>
  <c r="P104" i="8"/>
  <c r="O104" i="8"/>
  <c r="I40" i="8" s="1"/>
  <c r="S80" i="8"/>
  <c r="K80" i="8" s="1"/>
  <c r="C16" i="8"/>
  <c r="N122" i="8"/>
  <c r="P116" i="8"/>
  <c r="O116" i="8"/>
  <c r="I52" i="8"/>
  <c r="P112" i="8"/>
  <c r="O112" i="8" s="1"/>
  <c r="I48" i="8" s="1"/>
  <c r="P94" i="8"/>
  <c r="O94" i="8"/>
  <c r="I30" i="8" s="1"/>
  <c r="B360" i="8"/>
  <c r="A366" i="8" s="1"/>
  <c r="N93" i="8"/>
  <c r="S84" i="8"/>
  <c r="K84" i="8"/>
  <c r="C20" i="8" s="1"/>
  <c r="S75" i="9"/>
  <c r="K75" i="9" s="1"/>
  <c r="C11" i="9" s="1"/>
  <c r="O24" i="5"/>
  <c r="T26" i="9"/>
  <c r="T30" i="9" s="1"/>
  <c r="T37" i="9"/>
  <c r="T40" i="9" s="1"/>
  <c r="T37" i="8"/>
  <c r="T26" i="8"/>
  <c r="O40" i="5"/>
  <c r="S119" i="8"/>
  <c r="K119" i="8" s="1"/>
  <c r="C55" i="8" s="1"/>
  <c r="S108" i="8"/>
  <c r="K108" i="8"/>
  <c r="C44" i="8"/>
  <c r="S89" i="9"/>
  <c r="K89" i="9"/>
  <c r="C25" i="9"/>
  <c r="K10" i="8"/>
  <c r="K35" i="8"/>
  <c r="N35" i="8"/>
  <c r="H35" i="8"/>
  <c r="K48" i="8"/>
  <c r="N48" i="8"/>
  <c r="N174" i="8"/>
  <c r="N184" i="8"/>
  <c r="N173" i="8"/>
  <c r="N171" i="8"/>
  <c r="N172" i="8"/>
  <c r="N179" i="8"/>
  <c r="N187" i="8"/>
  <c r="N183" i="8"/>
  <c r="N178" i="8"/>
  <c r="N185" i="8"/>
  <c r="N176" i="8"/>
  <c r="N175" i="8"/>
  <c r="N180" i="8"/>
  <c r="N177" i="8"/>
  <c r="N186" i="8"/>
  <c r="K45" i="8"/>
  <c r="N45" i="8"/>
  <c r="H45" i="8"/>
  <c r="K27" i="8"/>
  <c r="N27" i="8" s="1"/>
  <c r="H32" i="8"/>
  <c r="K32" i="8"/>
  <c r="N32" i="8" s="1"/>
  <c r="K11" i="8"/>
  <c r="N11" i="8"/>
  <c r="K13" i="8"/>
  <c r="N13" i="8"/>
  <c r="H13" i="8"/>
  <c r="K51" i="9"/>
  <c r="N51" i="9" s="1"/>
  <c r="K10" i="9"/>
  <c r="H10" i="9"/>
  <c r="H41" i="9"/>
  <c r="K41" i="9"/>
  <c r="N41" i="9"/>
  <c r="K13" i="9"/>
  <c r="N13" i="9"/>
  <c r="H13" i="9"/>
  <c r="H46" i="9"/>
  <c r="K46" i="9"/>
  <c r="N46" i="9"/>
  <c r="K14" i="9"/>
  <c r="N14" i="9"/>
  <c r="H14" i="9"/>
  <c r="N17" i="9"/>
  <c r="H17" i="9"/>
  <c r="N45" i="9"/>
  <c r="H45" i="9"/>
  <c r="K40" i="9"/>
  <c r="N40" i="9"/>
  <c r="H40" i="9"/>
  <c r="H39" i="9"/>
  <c r="K39" i="9"/>
  <c r="N39" i="9" s="1"/>
  <c r="K43" i="9"/>
  <c r="N43" i="9"/>
  <c r="H43" i="9"/>
  <c r="K38" i="9"/>
  <c r="N38" i="9" s="1"/>
  <c r="H38" i="9"/>
  <c r="H29" i="9"/>
  <c r="N29" i="9"/>
  <c r="H22" i="9"/>
  <c r="K22" i="9"/>
  <c r="N22" i="9"/>
  <c r="H55" i="9"/>
  <c r="K55" i="9"/>
  <c r="N55" i="9"/>
  <c r="K22" i="8"/>
  <c r="N22" i="8" s="1"/>
  <c r="K57" i="8"/>
  <c r="N57" i="8"/>
  <c r="H57" i="8"/>
  <c r="H34" i="9"/>
  <c r="H27" i="9"/>
  <c r="N27" i="9"/>
  <c r="T41" i="9"/>
  <c r="K30" i="8"/>
  <c r="N30" i="8"/>
  <c r="O211" i="8"/>
  <c r="O204" i="8"/>
  <c r="H26" i="8"/>
  <c r="K55" i="8"/>
  <c r="N55" i="8" s="1"/>
  <c r="H55" i="8"/>
  <c r="K53" i="8"/>
  <c r="N53" i="8" s="1"/>
  <c r="K31" i="8"/>
  <c r="N31" i="8"/>
  <c r="H31" i="8"/>
  <c r="H42" i="8"/>
  <c r="K42" i="8"/>
  <c r="N42" i="8"/>
  <c r="H14" i="8"/>
  <c r="N14" i="8"/>
  <c r="K47" i="9"/>
  <c r="N47" i="9" s="1"/>
  <c r="N184" i="9"/>
  <c r="N183" i="9"/>
  <c r="N173" i="9"/>
  <c r="N179" i="9"/>
  <c r="N174" i="9"/>
  <c r="N180" i="9"/>
  <c r="N171" i="9"/>
  <c r="N186" i="9"/>
  <c r="N172" i="9"/>
  <c r="N176" i="9"/>
  <c r="N177" i="9"/>
  <c r="H15" i="9"/>
  <c r="K15" i="9"/>
  <c r="N15" i="9"/>
  <c r="H19" i="9"/>
  <c r="K19" i="9"/>
  <c r="N19" i="9" s="1"/>
  <c r="H31" i="9"/>
  <c r="K31" i="9"/>
  <c r="N31" i="9"/>
  <c r="K56" i="9"/>
  <c r="N56" i="9"/>
  <c r="K36" i="9"/>
  <c r="N36" i="9"/>
  <c r="H36" i="9"/>
  <c r="H12" i="9"/>
  <c r="K12" i="9"/>
  <c r="N12" i="9"/>
  <c r="K37" i="9"/>
  <c r="N37" i="9"/>
  <c r="H37" i="9"/>
  <c r="K33" i="9"/>
  <c r="N33" i="9" s="1"/>
  <c r="H33" i="9"/>
  <c r="K30" i="9"/>
  <c r="N30" i="9"/>
  <c r="H30" i="9"/>
  <c r="T29" i="9"/>
  <c r="O28" i="5"/>
  <c r="T28" i="9"/>
  <c r="T27" i="9"/>
  <c r="K49" i="8"/>
  <c r="N49" i="8" s="1"/>
  <c r="H49" i="8"/>
  <c r="K44" i="8"/>
  <c r="N44" i="8"/>
  <c r="K40" i="8"/>
  <c r="N40" i="8" s="1"/>
  <c r="H40" i="8"/>
  <c r="H54" i="9"/>
  <c r="N57" i="9"/>
  <c r="T27" i="8"/>
  <c r="T30" i="8"/>
  <c r="T28" i="8"/>
  <c r="T29" i="8"/>
  <c r="O44" i="5"/>
  <c r="K29" i="8"/>
  <c r="N29" i="8" s="1"/>
  <c r="H29" i="8"/>
  <c r="H59" i="8"/>
  <c r="K59" i="8"/>
  <c r="N59" i="8"/>
  <c r="H36" i="8"/>
  <c r="K36" i="8"/>
  <c r="N36" i="8"/>
  <c r="H43" i="8"/>
  <c r="K43" i="8"/>
  <c r="N43" i="8"/>
  <c r="H17" i="8"/>
  <c r="K17" i="8"/>
  <c r="N17" i="8" s="1"/>
  <c r="H24" i="8"/>
  <c r="K24" i="8"/>
  <c r="N24" i="8" s="1"/>
  <c r="H16" i="8"/>
  <c r="K16" i="8"/>
  <c r="N16" i="8"/>
  <c r="H37" i="8"/>
  <c r="K37" i="8"/>
  <c r="N37" i="8" s="1"/>
  <c r="H38" i="8"/>
  <c r="K38" i="8"/>
  <c r="N38" i="8" s="1"/>
  <c r="H19" i="8"/>
  <c r="H51" i="8"/>
  <c r="K51" i="8"/>
  <c r="N51" i="8" s="1"/>
  <c r="D365" i="9"/>
  <c r="G365" i="9"/>
  <c r="A366" i="9"/>
  <c r="C365" i="9"/>
  <c r="H44" i="9"/>
  <c r="K44" i="9"/>
  <c r="N44" i="9"/>
  <c r="N58" i="9"/>
  <c r="H58" i="9"/>
  <c r="K11" i="9"/>
  <c r="H11" i="9"/>
  <c r="K21" i="9"/>
  <c r="N21" i="9"/>
  <c r="H21" i="9"/>
  <c r="K28" i="9"/>
  <c r="N28" i="9"/>
  <c r="K32" i="9"/>
  <c r="N32" i="9"/>
  <c r="H32" i="9"/>
  <c r="K53" i="9"/>
  <c r="N53" i="9"/>
  <c r="H53" i="9"/>
  <c r="K26" i="9"/>
  <c r="N26" i="9"/>
  <c r="H26" i="9"/>
  <c r="H25" i="9"/>
  <c r="K25" i="9"/>
  <c r="N25" i="9" s="1"/>
  <c r="D83" i="8"/>
  <c r="D80" i="8"/>
  <c r="D79" i="8"/>
  <c r="D76" i="8"/>
  <c r="D78" i="8"/>
  <c r="D81" i="8"/>
  <c r="D75" i="8"/>
  <c r="D82" i="8"/>
  <c r="N15" i="8"/>
  <c r="H15" i="8"/>
  <c r="K28" i="8"/>
  <c r="N28" i="8" s="1"/>
  <c r="K54" i="8"/>
  <c r="N54" i="8"/>
  <c r="H54" i="8"/>
  <c r="K33" i="8"/>
  <c r="N33" i="8"/>
  <c r="K18" i="8"/>
  <c r="N18" i="8" s="1"/>
  <c r="H18" i="8"/>
  <c r="K56" i="8"/>
  <c r="N56" i="8"/>
  <c r="H56" i="8"/>
  <c r="N50" i="9"/>
  <c r="H50" i="9"/>
  <c r="K35" i="9"/>
  <c r="N35" i="9" s="1"/>
  <c r="H35" i="9"/>
  <c r="T40" i="8"/>
  <c r="T41" i="8"/>
  <c r="C365" i="8"/>
  <c r="F365" i="8" s="1"/>
  <c r="H58" i="8"/>
  <c r="K58" i="8"/>
  <c r="N58" i="8"/>
  <c r="H52" i="8"/>
  <c r="K52" i="8"/>
  <c r="N52" i="8"/>
  <c r="H21" i="8"/>
  <c r="K21" i="8"/>
  <c r="N21" i="8"/>
  <c r="K41" i="8"/>
  <c r="N41" i="8"/>
  <c r="K47" i="8"/>
  <c r="N47" i="8" s="1"/>
  <c r="H47" i="8"/>
  <c r="K20" i="8"/>
  <c r="N20" i="8" s="1"/>
  <c r="K50" i="8"/>
  <c r="N50" i="8"/>
  <c r="H50" i="8"/>
  <c r="H24" i="9"/>
  <c r="K16" i="9"/>
  <c r="N16" i="9"/>
  <c r="H16" i="9"/>
  <c r="H52" i="9"/>
  <c r="K52" i="9"/>
  <c r="N52" i="9"/>
  <c r="H48" i="9"/>
  <c r="K48" i="9"/>
  <c r="N48" i="9"/>
  <c r="H20" i="9"/>
  <c r="K20" i="9"/>
  <c r="K23" i="9"/>
  <c r="N23" i="9" s="1"/>
  <c r="H23" i="9"/>
  <c r="K59" i="9"/>
  <c r="N59" i="9"/>
  <c r="H59" i="9"/>
  <c r="K42" i="9"/>
  <c r="N42" i="9"/>
  <c r="H42" i="9"/>
  <c r="O204" i="9"/>
  <c r="O212" i="9"/>
  <c r="O208" i="9"/>
  <c r="O209" i="9"/>
  <c r="O211" i="9"/>
  <c r="O210" i="9"/>
  <c r="O206" i="9"/>
  <c r="O203" i="9"/>
  <c r="O205" i="9"/>
  <c r="O207" i="9"/>
  <c r="H49" i="9"/>
  <c r="K49" i="9"/>
  <c r="N49" i="9"/>
  <c r="N10" i="9"/>
  <c r="E366" i="9"/>
  <c r="B366" i="8"/>
  <c r="E365" i="9"/>
  <c r="E416" i="9" s="1"/>
  <c r="B361" i="9" s="1"/>
  <c r="T31" i="9" s="1"/>
  <c r="S107" i="9"/>
  <c r="K107" i="9" s="1"/>
  <c r="C43" i="9" s="1"/>
  <c r="S112" i="8"/>
  <c r="K112" i="8"/>
  <c r="C48" i="8" s="1"/>
  <c r="S94" i="9"/>
  <c r="K94" i="9"/>
  <c r="C30" i="9"/>
  <c r="M62" i="9"/>
  <c r="N11" i="9"/>
  <c r="F365" i="9"/>
  <c r="H365" i="9" s="1"/>
  <c r="H416" i="9" s="1"/>
  <c r="O207" i="8"/>
  <c r="O210" i="8"/>
  <c r="O209" i="8"/>
  <c r="O212" i="8"/>
  <c r="O208" i="8"/>
  <c r="N175" i="9"/>
  <c r="N178" i="9"/>
  <c r="N187" i="9"/>
  <c r="F14" i="8"/>
  <c r="F12" i="9"/>
  <c r="F10" i="8"/>
  <c r="F13" i="8"/>
  <c r="M15" i="8"/>
  <c r="M62" i="8"/>
  <c r="J13" i="9"/>
  <c r="J10" i="9"/>
  <c r="J27" i="9"/>
  <c r="T22" i="9" s="1"/>
  <c r="J49" i="9"/>
  <c r="J18" i="9"/>
  <c r="J26" i="9"/>
  <c r="J57" i="9"/>
  <c r="J32" i="9"/>
  <c r="J14" i="9"/>
  <c r="J34" i="9"/>
  <c r="J40" i="9"/>
  <c r="J33" i="9"/>
  <c r="J39" i="9"/>
  <c r="J20" i="9"/>
  <c r="J56" i="9"/>
  <c r="J24" i="9"/>
  <c r="J59" i="9"/>
  <c r="F19" i="8"/>
  <c r="J16" i="8"/>
  <c r="J55" i="9"/>
  <c r="J51" i="9"/>
  <c r="J30" i="9"/>
  <c r="J52" i="9"/>
  <c r="A80" i="8"/>
  <c r="J80" i="8"/>
  <c r="I80" i="8"/>
  <c r="J22" i="9"/>
  <c r="J42" i="9"/>
  <c r="J50" i="9"/>
  <c r="F21" i="8"/>
  <c r="D361" i="9"/>
  <c r="T32" i="9" s="1"/>
  <c r="N20" i="9"/>
  <c r="O205" i="8"/>
  <c r="F15" i="8"/>
  <c r="F17" i="8"/>
  <c r="S75" i="7"/>
  <c r="K75" i="7"/>
  <c r="C11" i="7" s="1"/>
  <c r="S94" i="7"/>
  <c r="K94" i="7" s="1"/>
  <c r="C30" i="7" s="1"/>
  <c r="S122" i="7"/>
  <c r="K122" i="7" s="1"/>
  <c r="C58" i="7" s="1"/>
  <c r="M62" i="7"/>
  <c r="H18" i="7"/>
  <c r="S77" i="7"/>
  <c r="K77" i="7" s="1"/>
  <c r="C13" i="7" s="1"/>
  <c r="N84" i="7"/>
  <c r="K20" i="7" s="1"/>
  <c r="N20" i="7" s="1"/>
  <c r="N119" i="7"/>
  <c r="P89" i="7"/>
  <c r="O89" i="7" s="1"/>
  <c r="I25" i="7" s="1"/>
  <c r="N104" i="7"/>
  <c r="N102" i="7"/>
  <c r="N116" i="7"/>
  <c r="P80" i="7"/>
  <c r="O80" i="7" s="1"/>
  <c r="I16" i="7" s="1"/>
  <c r="S103" i="7"/>
  <c r="K103" i="7"/>
  <c r="C39" i="7"/>
  <c r="S97" i="7"/>
  <c r="K97" i="7"/>
  <c r="C33" i="7"/>
  <c r="S118" i="7"/>
  <c r="K118" i="7"/>
  <c r="C54" i="7" s="1"/>
  <c r="T22" i="7"/>
  <c r="P105" i="7"/>
  <c r="O105" i="7" s="1"/>
  <c r="I41" i="7" s="1"/>
  <c r="N86" i="7"/>
  <c r="K22" i="7" s="1"/>
  <c r="N22" i="7" s="1"/>
  <c r="N105" i="7"/>
  <c r="H41" i="7" s="1"/>
  <c r="P85" i="7"/>
  <c r="O85" i="7" s="1"/>
  <c r="I21" i="7" s="1"/>
  <c r="S83" i="7"/>
  <c r="K83" i="7" s="1"/>
  <c r="C19" i="7" s="1"/>
  <c r="S90" i="7"/>
  <c r="K90" i="7"/>
  <c r="C26" i="7"/>
  <c r="S119" i="7"/>
  <c r="K119" i="7"/>
  <c r="C55" i="7"/>
  <c r="S98" i="7"/>
  <c r="K98" i="7"/>
  <c r="C34" i="7"/>
  <c r="S80" i="7"/>
  <c r="K80" i="7"/>
  <c r="C16" i="7" s="1"/>
  <c r="S85" i="7"/>
  <c r="K85" i="7"/>
  <c r="C21" i="7" s="1"/>
  <c r="P96" i="7"/>
  <c r="O96" i="7"/>
  <c r="I32" i="7" s="1"/>
  <c r="W86" i="7"/>
  <c r="N97" i="7"/>
  <c r="P114" i="7"/>
  <c r="O114" i="7"/>
  <c r="I50" i="7" s="1"/>
  <c r="N98" i="7"/>
  <c r="P82" i="7"/>
  <c r="O82" i="7"/>
  <c r="I18" i="7" s="1"/>
  <c r="P88" i="7"/>
  <c r="O88" i="7"/>
  <c r="I24" i="7"/>
  <c r="N95" i="7"/>
  <c r="P112" i="7"/>
  <c r="O112" i="7"/>
  <c r="I48" i="7"/>
  <c r="AE83" i="7"/>
  <c r="AE86" i="7" s="1"/>
  <c r="N103" i="7"/>
  <c r="S120" i="7"/>
  <c r="K120" i="7" s="1"/>
  <c r="C56" i="7" s="1"/>
  <c r="S100" i="7"/>
  <c r="K100" i="7" s="1"/>
  <c r="C36" i="7" s="1"/>
  <c r="S112" i="7"/>
  <c r="K112" i="7"/>
  <c r="C48" i="7"/>
  <c r="S79" i="7"/>
  <c r="K79" i="7"/>
  <c r="C15" i="7"/>
  <c r="N88" i="7"/>
  <c r="N118" i="7"/>
  <c r="N93" i="7"/>
  <c r="N106" i="7"/>
  <c r="P78" i="7"/>
  <c r="O78" i="7" s="1"/>
  <c r="I14" i="7" s="1"/>
  <c r="N91" i="7"/>
  <c r="K27" i="7" s="1"/>
  <c r="N27" i="7" s="1"/>
  <c r="P115" i="7"/>
  <c r="O115" i="7"/>
  <c r="I51" i="7" s="1"/>
  <c r="P74" i="7"/>
  <c r="O74" i="7"/>
  <c r="I10" i="7" s="1"/>
  <c r="P110" i="7"/>
  <c r="O110" i="7"/>
  <c r="I46" i="7" s="1"/>
  <c r="S88" i="7"/>
  <c r="K88" i="7" s="1"/>
  <c r="C24" i="7" s="1"/>
  <c r="S116" i="7"/>
  <c r="K116" i="7" s="1"/>
  <c r="C52" i="7" s="1"/>
  <c r="S92" i="7"/>
  <c r="K92" i="7"/>
  <c r="C28" i="7" s="1"/>
  <c r="N80" i="7"/>
  <c r="N89" i="7"/>
  <c r="N117" i="7"/>
  <c r="P81" i="7"/>
  <c r="O81" i="7"/>
  <c r="I17" i="7" s="1"/>
  <c r="P75" i="7"/>
  <c r="O75" i="7"/>
  <c r="I11" i="7" s="1"/>
  <c r="P120" i="7"/>
  <c r="O120" i="7"/>
  <c r="I56" i="7" s="1"/>
  <c r="P100" i="7"/>
  <c r="O100" i="7" s="1"/>
  <c r="I36" i="7" s="1"/>
  <c r="P91" i="7"/>
  <c r="O91" i="7" s="1"/>
  <c r="I27" i="7" s="1"/>
  <c r="N87" i="7"/>
  <c r="N76" i="7"/>
  <c r="K12" i="7" s="1"/>
  <c r="N113" i="7"/>
  <c r="J204" i="7"/>
  <c r="N100" i="7"/>
  <c r="K36" i="7" s="1"/>
  <c r="N36" i="7" s="1"/>
  <c r="P113" i="7"/>
  <c r="O113" i="7" s="1"/>
  <c r="I49" i="7" s="1"/>
  <c r="S76" i="7"/>
  <c r="K76" i="7"/>
  <c r="C12" i="7"/>
  <c r="S107" i="7"/>
  <c r="K107" i="7"/>
  <c r="C43" i="7"/>
  <c r="S113" i="7"/>
  <c r="K113" i="7"/>
  <c r="C49" i="7"/>
  <c r="S108" i="7"/>
  <c r="K108" i="7"/>
  <c r="C44" i="7" s="1"/>
  <c r="T41" i="7"/>
  <c r="S124" i="7"/>
  <c r="K124" i="7" s="1"/>
  <c r="C60" i="7" s="1"/>
  <c r="P108" i="7"/>
  <c r="O108" i="7"/>
  <c r="I44" i="7" s="1"/>
  <c r="N101" i="7"/>
  <c r="P76" i="7"/>
  <c r="O76" i="7"/>
  <c r="I12" i="7" s="1"/>
  <c r="P86" i="7"/>
  <c r="O86" i="7"/>
  <c r="I22" i="7" s="1"/>
  <c r="P103" i="7"/>
  <c r="O103" i="7" s="1"/>
  <c r="I39" i="7" s="1"/>
  <c r="N108" i="7"/>
  <c r="N77" i="7"/>
  <c r="N75" i="7"/>
  <c r="P79" i="7"/>
  <c r="O79" i="7"/>
  <c r="I15" i="7"/>
  <c r="N112" i="7"/>
  <c r="B360" i="7"/>
  <c r="C365" i="7" s="1"/>
  <c r="E365" i="7" s="1"/>
  <c r="E416" i="7" s="1"/>
  <c r="N121" i="7"/>
  <c r="N109" i="7"/>
  <c r="P84" i="7"/>
  <c r="O84" i="7"/>
  <c r="I20" i="7"/>
  <c r="N90" i="7"/>
  <c r="S111" i="7"/>
  <c r="K111" i="7"/>
  <c r="C47" i="7"/>
  <c r="S91" i="7"/>
  <c r="K91" i="7"/>
  <c r="C27" i="7" s="1"/>
  <c r="S117" i="7"/>
  <c r="K117" i="7"/>
  <c r="C53" i="7" s="1"/>
  <c r="S93" i="7"/>
  <c r="K93" i="7"/>
  <c r="C29" i="7" s="1"/>
  <c r="L34" i="2"/>
  <c r="T14" i="7"/>
  <c r="B359" i="7"/>
  <c r="T27" i="7"/>
  <c r="T30" i="7"/>
  <c r="N74" i="7"/>
  <c r="H10" i="7" s="1"/>
  <c r="S115" i="7"/>
  <c r="K115" i="7"/>
  <c r="C51" i="7"/>
  <c r="S101" i="7"/>
  <c r="K101" i="7" s="1"/>
  <c r="C37" i="7" s="1"/>
  <c r="S84" i="7"/>
  <c r="K84" i="7"/>
  <c r="C20" i="7" s="1"/>
  <c r="S96" i="7"/>
  <c r="K96" i="7"/>
  <c r="C32" i="7" s="1"/>
  <c r="P95" i="7"/>
  <c r="O95" i="7"/>
  <c r="I31" i="7" s="1"/>
  <c r="P107" i="7"/>
  <c r="O107" i="7" s="1"/>
  <c r="I43" i="7" s="1"/>
  <c r="T40" i="7"/>
  <c r="F11" i="7"/>
  <c r="F12" i="7"/>
  <c r="F14" i="7"/>
  <c r="F20" i="7"/>
  <c r="F15" i="7"/>
  <c r="D74" i="7"/>
  <c r="T15" i="7"/>
  <c r="S86" i="7"/>
  <c r="K86" i="7" s="1"/>
  <c r="C22" i="7" s="1"/>
  <c r="S74" i="7"/>
  <c r="K74" i="7" s="1"/>
  <c r="C10" i="7" s="1"/>
  <c r="S110" i="7"/>
  <c r="K110" i="7"/>
  <c r="C46" i="7"/>
  <c r="S114" i="7"/>
  <c r="K114" i="7" s="1"/>
  <c r="C50" i="7" s="1"/>
  <c r="S87" i="7"/>
  <c r="K87" i="7" s="1"/>
  <c r="C23" i="7" s="1"/>
  <c r="F21" i="7"/>
  <c r="F19" i="7"/>
  <c r="H52" i="7"/>
  <c r="K52" i="7"/>
  <c r="N52" i="7" s="1"/>
  <c r="K11" i="7"/>
  <c r="N11" i="7" s="1"/>
  <c r="H11" i="7"/>
  <c r="O205" i="7"/>
  <c r="O210" i="7"/>
  <c r="O211" i="7"/>
  <c r="O204" i="7"/>
  <c r="O207" i="7"/>
  <c r="O212" i="7"/>
  <c r="O209" i="7"/>
  <c r="O208" i="7"/>
  <c r="O203" i="7"/>
  <c r="O206" i="7"/>
  <c r="H31" i="7"/>
  <c r="K31" i="7"/>
  <c r="N31" i="7"/>
  <c r="H22" i="7"/>
  <c r="H38" i="7"/>
  <c r="K38" i="7"/>
  <c r="N38" i="7" s="1"/>
  <c r="H29" i="7"/>
  <c r="K29" i="7"/>
  <c r="N29" i="7"/>
  <c r="AA85" i="7"/>
  <c r="D83" i="7"/>
  <c r="D75" i="7"/>
  <c r="D81" i="7"/>
  <c r="D78" i="7"/>
  <c r="D80" i="7"/>
  <c r="D76" i="7"/>
  <c r="D84" i="7" s="1"/>
  <c r="D21" i="7" s="1"/>
  <c r="D82" i="7"/>
  <c r="D79" i="7"/>
  <c r="D77" i="7"/>
  <c r="K41" i="7"/>
  <c r="N41" i="7" s="1"/>
  <c r="H13" i="7"/>
  <c r="K13" i="7"/>
  <c r="N13" i="7"/>
  <c r="H53" i="7"/>
  <c r="K53" i="7"/>
  <c r="N53" i="7" s="1"/>
  <c r="H57" i="7"/>
  <c r="K57" i="7"/>
  <c r="N57" i="7" s="1"/>
  <c r="K37" i="7"/>
  <c r="N37" i="7"/>
  <c r="H37" i="7"/>
  <c r="H36" i="7"/>
  <c r="K44" i="7"/>
  <c r="N44" i="7"/>
  <c r="H44" i="7"/>
  <c r="H25" i="7"/>
  <c r="K25" i="7"/>
  <c r="N25" i="7"/>
  <c r="K48" i="7"/>
  <c r="N48" i="7"/>
  <c r="H48" i="7"/>
  <c r="K45" i="7"/>
  <c r="N45" i="7" s="1"/>
  <c r="H45" i="7"/>
  <c r="H16" i="7"/>
  <c r="K16" i="7"/>
  <c r="N16" i="7"/>
  <c r="H27" i="7"/>
  <c r="H34" i="7"/>
  <c r="K34" i="7"/>
  <c r="N34" i="7" s="1"/>
  <c r="K10" i="7"/>
  <c r="H20" i="7"/>
  <c r="D365" i="7"/>
  <c r="G365" i="7"/>
  <c r="A366" i="7"/>
  <c r="K42" i="7"/>
  <c r="N42" i="7" s="1"/>
  <c r="H42" i="7"/>
  <c r="H39" i="7"/>
  <c r="K39" i="7"/>
  <c r="N39" i="7" s="1"/>
  <c r="K33" i="7"/>
  <c r="N33" i="7" s="1"/>
  <c r="H33" i="7"/>
  <c r="C366" i="7"/>
  <c r="F366" i="7" s="1"/>
  <c r="A367" i="7"/>
  <c r="H367" i="7" s="1"/>
  <c r="B361" i="7"/>
  <c r="B367" i="7"/>
  <c r="D367" i="7"/>
  <c r="G367" i="7"/>
  <c r="A368" i="7"/>
  <c r="C368" i="7" s="1"/>
  <c r="F368" i="7" s="1"/>
  <c r="T31" i="7"/>
  <c r="B368" i="7"/>
  <c r="H368" i="7"/>
  <c r="H40" i="7" l="1"/>
  <c r="K40" i="7"/>
  <c r="N40" i="7" s="1"/>
  <c r="D11" i="7"/>
  <c r="H12" i="7"/>
  <c r="D14" i="7"/>
  <c r="D20" i="7"/>
  <c r="D18" i="7"/>
  <c r="D17" i="7"/>
  <c r="D16" i="7"/>
  <c r="D19" i="7"/>
  <c r="D15" i="7"/>
  <c r="D10" i="7"/>
  <c r="D12" i="7"/>
  <c r="D22" i="7"/>
  <c r="D13" i="7"/>
  <c r="N12" i="7"/>
  <c r="E368" i="7"/>
  <c r="A369" i="7"/>
  <c r="D368" i="7"/>
  <c r="G368" i="7" s="1"/>
  <c r="H26" i="7"/>
  <c r="K26" i="7"/>
  <c r="N26" i="7" s="1"/>
  <c r="K23" i="7"/>
  <c r="N23" i="7" s="1"/>
  <c r="H23" i="7"/>
  <c r="AA92" i="7"/>
  <c r="K49" i="7"/>
  <c r="N49" i="7" s="1"/>
  <c r="H49" i="7"/>
  <c r="D366" i="8"/>
  <c r="G366" i="8" s="1"/>
  <c r="C366" i="8"/>
  <c r="F366" i="8" s="1"/>
  <c r="A367" i="8"/>
  <c r="H366" i="8"/>
  <c r="E366" i="8"/>
  <c r="K25" i="8"/>
  <c r="N25" i="8" s="1"/>
  <c r="H25" i="8"/>
  <c r="K39" i="8"/>
  <c r="N39" i="8" s="1"/>
  <c r="H39" i="8"/>
  <c r="K55" i="7"/>
  <c r="N55" i="7" s="1"/>
  <c r="H55" i="7"/>
  <c r="F365" i="7"/>
  <c r="H365" i="7" s="1"/>
  <c r="H416" i="7" s="1"/>
  <c r="N10" i="7"/>
  <c r="C367" i="7"/>
  <c r="F367" i="7" s="1"/>
  <c r="H54" i="7"/>
  <c r="K54" i="7"/>
  <c r="N54" i="7" s="1"/>
  <c r="E367" i="7"/>
  <c r="H24" i="7"/>
  <c r="K24" i="7"/>
  <c r="N24" i="7" s="1"/>
  <c r="K19" i="7"/>
  <c r="N19" i="7" s="1"/>
  <c r="H19" i="7"/>
  <c r="H366" i="7"/>
  <c r="E366" i="7"/>
  <c r="B366" i="7"/>
  <c r="D366" i="7"/>
  <c r="G366" i="7" s="1"/>
  <c r="H34" i="8"/>
  <c r="K34" i="8"/>
  <c r="N34" i="8" s="1"/>
  <c r="W75" i="9"/>
  <c r="W74" i="9"/>
  <c r="C366" i="9"/>
  <c r="F366" i="9" s="1"/>
  <c r="A367" i="9"/>
  <c r="H366" i="9"/>
  <c r="B366" i="9"/>
  <c r="D366" i="9"/>
  <c r="G366" i="9" s="1"/>
  <c r="N10" i="8"/>
  <c r="T19" i="8"/>
  <c r="D84" i="8"/>
  <c r="K12" i="8"/>
  <c r="H12" i="8"/>
  <c r="W65" i="8" s="1"/>
  <c r="W65" i="9"/>
  <c r="K18" i="9"/>
  <c r="T18" i="9" s="1"/>
  <c r="H18" i="9"/>
  <c r="W66" i="9" s="1"/>
  <c r="D365" i="8"/>
  <c r="O203" i="8"/>
  <c r="O206" i="8"/>
  <c r="T14" i="9"/>
  <c r="H57" i="9"/>
  <c r="K46" i="8"/>
  <c r="N46" i="8" s="1"/>
  <c r="O25" i="5"/>
  <c r="D74" i="9"/>
  <c r="S116" i="8"/>
  <c r="K116" i="8" s="1"/>
  <c r="C52" i="8" s="1"/>
  <c r="S105" i="8"/>
  <c r="K105" i="8" s="1"/>
  <c r="C41" i="8" s="1"/>
  <c r="H32" i="7"/>
  <c r="S102" i="7"/>
  <c r="K102" i="7" s="1"/>
  <c r="C38" i="7" s="1"/>
  <c r="N81" i="7"/>
  <c r="P118" i="7"/>
  <c r="O118" i="7" s="1"/>
  <c r="I54" i="7" s="1"/>
  <c r="S100" i="8"/>
  <c r="K100" i="8" s="1"/>
  <c r="C36" i="8" s="1"/>
  <c r="S82" i="7"/>
  <c r="K82" i="7" s="1"/>
  <c r="C18" i="7" s="1"/>
  <c r="S99" i="7"/>
  <c r="K99" i="7" s="1"/>
  <c r="C35" i="7" s="1"/>
  <c r="J171" i="7"/>
  <c r="P121" i="7"/>
  <c r="O121" i="7" s="1"/>
  <c r="I57" i="7" s="1"/>
  <c r="P106" i="7"/>
  <c r="O106" i="7" s="1"/>
  <c r="I42" i="7" s="1"/>
  <c r="N78" i="7"/>
  <c r="N123" i="7"/>
  <c r="N99" i="7"/>
  <c r="P117" i="7"/>
  <c r="O117" i="7" s="1"/>
  <c r="I53" i="7" s="1"/>
  <c r="C361" i="7"/>
  <c r="C362" i="7" s="1"/>
  <c r="N92" i="7"/>
  <c r="P99" i="7"/>
  <c r="O99" i="7" s="1"/>
  <c r="I35" i="7" s="1"/>
  <c r="P111" i="7"/>
  <c r="O111" i="7" s="1"/>
  <c r="I47" i="7" s="1"/>
  <c r="P119" i="7"/>
  <c r="O119" i="7" s="1"/>
  <c r="I55" i="7" s="1"/>
  <c r="N85" i="7"/>
  <c r="P83" i="7"/>
  <c r="O83" i="7" s="1"/>
  <c r="I19" i="7" s="1"/>
  <c r="P87" i="7"/>
  <c r="O87" i="7" s="1"/>
  <c r="I23" i="7" s="1"/>
  <c r="N122" i="7"/>
  <c r="P90" i="7"/>
  <c r="O90" i="7" s="1"/>
  <c r="I26" i="7" s="1"/>
  <c r="N107" i="7"/>
  <c r="S109" i="7"/>
  <c r="K109" i="7" s="1"/>
  <c r="C45" i="7" s="1"/>
  <c r="S121" i="7"/>
  <c r="K121" i="7" s="1"/>
  <c r="C57" i="7" s="1"/>
  <c r="P122" i="7"/>
  <c r="O122" i="7" s="1"/>
  <c r="I58" i="7" s="1"/>
  <c r="P93" i="7"/>
  <c r="O93" i="7" s="1"/>
  <c r="I29" i="7" s="1"/>
  <c r="N114" i="7"/>
  <c r="N110" i="7"/>
  <c r="N111" i="7"/>
  <c r="P77" i="7"/>
  <c r="O77" i="7" s="1"/>
  <c r="I13" i="7" s="1"/>
  <c r="K15" i="7"/>
  <c r="N15" i="7" s="1"/>
  <c r="H15" i="7"/>
  <c r="K51" i="7"/>
  <c r="N51" i="7" s="1"/>
  <c r="S124" i="8"/>
  <c r="K124" i="8" s="1"/>
  <c r="C60" i="8" s="1"/>
  <c r="S120" i="8"/>
  <c r="K120" i="8" s="1"/>
  <c r="C56" i="8" s="1"/>
  <c r="S118" i="8"/>
  <c r="K118" i="8" s="1"/>
  <c r="C54" i="8" s="1"/>
  <c r="S103" i="8"/>
  <c r="K103" i="8" s="1"/>
  <c r="C39" i="8" s="1"/>
  <c r="P94" i="7"/>
  <c r="O94" i="7" s="1"/>
  <c r="I30" i="7" s="1"/>
  <c r="P97" i="7"/>
  <c r="O97" i="7" s="1"/>
  <c r="I33" i="7" s="1"/>
  <c r="P117" i="8"/>
  <c r="O117" i="8" s="1"/>
  <c r="I53" i="8" s="1"/>
  <c r="S99" i="8"/>
  <c r="K99" i="8" s="1"/>
  <c r="C35" i="8" s="1"/>
  <c r="S123" i="8"/>
  <c r="K123" i="8" s="1"/>
  <c r="C59" i="8" s="1"/>
  <c r="F10" i="7"/>
  <c r="F22" i="7"/>
  <c r="J14" i="8"/>
  <c r="T22" i="8" s="1"/>
  <c r="F16" i="7"/>
  <c r="W69" i="9" l="1"/>
  <c r="W70" i="9"/>
  <c r="O26" i="5"/>
  <c r="T35" i="9"/>
  <c r="O43" i="5"/>
  <c r="T36" i="8"/>
  <c r="H47" i="7"/>
  <c r="K47" i="7"/>
  <c r="N47" i="7" s="1"/>
  <c r="K28" i="7"/>
  <c r="N28" i="7" s="1"/>
  <c r="H28" i="7"/>
  <c r="N180" i="7"/>
  <c r="N175" i="7"/>
  <c r="N173" i="7"/>
  <c r="N174" i="7"/>
  <c r="N172" i="7"/>
  <c r="N176" i="7"/>
  <c r="N178" i="7"/>
  <c r="N183" i="7"/>
  <c r="N186" i="7"/>
  <c r="N171" i="7"/>
  <c r="N185" i="7"/>
  <c r="N187" i="7"/>
  <c r="N184" i="7"/>
  <c r="N179" i="7"/>
  <c r="N177" i="7"/>
  <c r="H367" i="8"/>
  <c r="D367" i="8"/>
  <c r="G367" i="8" s="1"/>
  <c r="C367" i="8"/>
  <c r="F367" i="8" s="1"/>
  <c r="E367" i="8"/>
  <c r="B367" i="8"/>
  <c r="A368" i="8"/>
  <c r="W75" i="7"/>
  <c r="K14" i="7"/>
  <c r="H14" i="7"/>
  <c r="W65" i="7" s="1"/>
  <c r="T21" i="8"/>
  <c r="G365" i="8"/>
  <c r="H365" i="8" s="1"/>
  <c r="H416" i="8" s="1"/>
  <c r="B362" i="8" s="1"/>
  <c r="E365" i="8"/>
  <c r="E416" i="8" s="1"/>
  <c r="B361" i="8" s="1"/>
  <c r="D19" i="8"/>
  <c r="D16" i="8"/>
  <c r="D20" i="8"/>
  <c r="D17" i="8"/>
  <c r="D15" i="8"/>
  <c r="D13" i="8"/>
  <c r="D14" i="8"/>
  <c r="D10" i="8"/>
  <c r="D11" i="8"/>
  <c r="D12" i="8"/>
  <c r="D21" i="8"/>
  <c r="D22" i="8"/>
  <c r="D18" i="8"/>
  <c r="H17" i="7"/>
  <c r="W66" i="7" s="1"/>
  <c r="K17" i="7"/>
  <c r="N17" i="7" s="1"/>
  <c r="N12" i="8"/>
  <c r="N62" i="8" s="1"/>
  <c r="T20" i="8"/>
  <c r="W75" i="8"/>
  <c r="D361" i="7"/>
  <c r="T32" i="7" s="1"/>
  <c r="H43" i="7"/>
  <c r="K43" i="7"/>
  <c r="N43" i="7" s="1"/>
  <c r="T18" i="8"/>
  <c r="K58" i="7"/>
  <c r="N58" i="7" s="1"/>
  <c r="H58" i="7"/>
  <c r="K50" i="7"/>
  <c r="N50" i="7" s="1"/>
  <c r="H50" i="7"/>
  <c r="D80" i="9"/>
  <c r="D78" i="9"/>
  <c r="D83" i="9"/>
  <c r="D76" i="9"/>
  <c r="D79" i="9"/>
  <c r="D82" i="9"/>
  <c r="D77" i="9"/>
  <c r="D81" i="9"/>
  <c r="D75" i="9"/>
  <c r="W74" i="8"/>
  <c r="Y78" i="9"/>
  <c r="W78" i="9" s="1"/>
  <c r="Y79" i="9"/>
  <c r="W79" i="9" s="1"/>
  <c r="K46" i="7"/>
  <c r="N46" i="7" s="1"/>
  <c r="H46" i="7"/>
  <c r="W66" i="8"/>
  <c r="K35" i="7"/>
  <c r="N35" i="7" s="1"/>
  <c r="H35" i="7"/>
  <c r="N18" i="9"/>
  <c r="N62" i="9" s="1"/>
  <c r="T20" i="9"/>
  <c r="T19" i="9"/>
  <c r="H21" i="7"/>
  <c r="K21" i="7"/>
  <c r="N21" i="7" s="1"/>
  <c r="H59" i="7"/>
  <c r="K59" i="7"/>
  <c r="N59" i="7" s="1"/>
  <c r="T21" i="9"/>
  <c r="A368" i="9"/>
  <c r="C367" i="9"/>
  <c r="F367" i="9" s="1"/>
  <c r="B367" i="9"/>
  <c r="D367" i="9"/>
  <c r="G367" i="9" s="1"/>
  <c r="E367" i="9"/>
  <c r="H367" i="9"/>
  <c r="A370" i="7"/>
  <c r="B369" i="7"/>
  <c r="D369" i="7"/>
  <c r="G369" i="7" s="1"/>
  <c r="H369" i="7"/>
  <c r="C369" i="7"/>
  <c r="F369" i="7" s="1"/>
  <c r="E369" i="7"/>
  <c r="W70" i="7" l="1"/>
  <c r="W69" i="7"/>
  <c r="W69" i="8"/>
  <c r="W70" i="8"/>
  <c r="T50" i="8"/>
  <c r="J206" i="8"/>
  <c r="AE84" i="8"/>
  <c r="W84" i="8"/>
  <c r="E368" i="8"/>
  <c r="C368" i="8"/>
  <c r="F368" i="8" s="1"/>
  <c r="D368" i="8"/>
  <c r="G368" i="8" s="1"/>
  <c r="H368" i="8"/>
  <c r="A369" i="8"/>
  <c r="B368" i="8"/>
  <c r="W74" i="7"/>
  <c r="Y79" i="7" s="1"/>
  <c r="W79" i="7" s="1"/>
  <c r="T31" i="8"/>
  <c r="D361" i="8"/>
  <c r="T32" i="8" s="1"/>
  <c r="T48" i="9"/>
  <c r="W161" i="9" s="1"/>
  <c r="W162" i="9" s="1"/>
  <c r="S161" i="9"/>
  <c r="S162" i="9" s="1"/>
  <c r="Y79" i="8"/>
  <c r="W79" i="8" s="1"/>
  <c r="Y78" i="8"/>
  <c r="W78" i="8" s="1"/>
  <c r="T55" i="8"/>
  <c r="D362" i="8"/>
  <c r="T56" i="8" s="1"/>
  <c r="J206" i="9"/>
  <c r="W84" i="9"/>
  <c r="T50" i="9"/>
  <c r="AE84" i="9"/>
  <c r="AE87" i="9" s="1"/>
  <c r="T49" i="9" s="1"/>
  <c r="J207" i="8"/>
  <c r="K207" i="8" s="1"/>
  <c r="AE85" i="8"/>
  <c r="J170" i="8"/>
  <c r="J175" i="8" s="1"/>
  <c r="W85" i="8"/>
  <c r="T36" i="9"/>
  <c r="B158" i="9" s="1"/>
  <c r="A161" i="9" s="1"/>
  <c r="O27" i="5"/>
  <c r="O42" i="5"/>
  <c r="T35" i="8"/>
  <c r="E368" i="9"/>
  <c r="A369" i="9"/>
  <c r="C368" i="9"/>
  <c r="F368" i="9" s="1"/>
  <c r="H368" i="9"/>
  <c r="D368" i="9"/>
  <c r="G368" i="9" s="1"/>
  <c r="B368" i="9"/>
  <c r="B370" i="7"/>
  <c r="D370" i="7"/>
  <c r="G370" i="7" s="1"/>
  <c r="E370" i="7"/>
  <c r="C370" i="7"/>
  <c r="F370" i="7" s="1"/>
  <c r="A371" i="7"/>
  <c r="H370" i="7"/>
  <c r="J170" i="9"/>
  <c r="J175" i="9" s="1"/>
  <c r="J207" i="9"/>
  <c r="K207" i="9" s="1"/>
  <c r="AE85" i="9"/>
  <c r="W85" i="9"/>
  <c r="B362" i="9"/>
  <c r="D84" i="9"/>
  <c r="N14" i="7"/>
  <c r="N62" i="7" s="1"/>
  <c r="T18" i="7"/>
  <c r="T19" i="7"/>
  <c r="T21" i="7"/>
  <c r="T20" i="7"/>
  <c r="A162" i="9" l="1"/>
  <c r="B161" i="9"/>
  <c r="W92" i="9"/>
  <c r="W87" i="9"/>
  <c r="W93" i="9"/>
  <c r="W91" i="9"/>
  <c r="W90" i="9"/>
  <c r="W89" i="9"/>
  <c r="W95" i="9" s="1"/>
  <c r="T48" i="8"/>
  <c r="W161" i="8" s="1"/>
  <c r="W162" i="8" s="1"/>
  <c r="S161" i="8"/>
  <c r="S162" i="8" s="1"/>
  <c r="B158" i="8"/>
  <c r="A161" i="8" s="1"/>
  <c r="K206" i="8"/>
  <c r="J209" i="8"/>
  <c r="T50" i="7"/>
  <c r="W84" i="7"/>
  <c r="AE84" i="7"/>
  <c r="AE87" i="7" s="1"/>
  <c r="T49" i="7" s="1"/>
  <c r="J206" i="7"/>
  <c r="E369" i="8"/>
  <c r="H369" i="8"/>
  <c r="B369" i="8"/>
  <c r="D369" i="8"/>
  <c r="G369" i="8" s="1"/>
  <c r="C369" i="8"/>
  <c r="F369" i="8" s="1"/>
  <c r="A370" i="8"/>
  <c r="T35" i="7"/>
  <c r="L35" i="2"/>
  <c r="W91" i="8"/>
  <c r="W92" i="8"/>
  <c r="W93" i="8"/>
  <c r="W87" i="8"/>
  <c r="W90" i="8"/>
  <c r="W89" i="8"/>
  <c r="W95" i="8" s="1"/>
  <c r="W96" i="8" s="1"/>
  <c r="W85" i="7"/>
  <c r="J170" i="7"/>
  <c r="J175" i="7" s="1"/>
  <c r="AE85" i="7"/>
  <c r="J207" i="7"/>
  <c r="K207" i="7" s="1"/>
  <c r="B362" i="7"/>
  <c r="AB84" i="9"/>
  <c r="AA84" i="9"/>
  <c r="W96" i="9"/>
  <c r="X98" i="9"/>
  <c r="W98" i="9"/>
  <c r="T38" i="9" s="1"/>
  <c r="T36" i="7"/>
  <c r="L36" i="2"/>
  <c r="L184" i="9"/>
  <c r="J176" i="9" s="1"/>
  <c r="J185" i="9"/>
  <c r="L185" i="9"/>
  <c r="J184" i="9"/>
  <c r="J177" i="9" s="1"/>
  <c r="K206" i="9"/>
  <c r="J209" i="9"/>
  <c r="Y78" i="7"/>
  <c r="W78" i="7" s="1"/>
  <c r="D371" i="7"/>
  <c r="G371" i="7" s="1"/>
  <c r="E371" i="7"/>
  <c r="C371" i="7"/>
  <c r="F371" i="7" s="1"/>
  <c r="H371" i="7"/>
  <c r="A372" i="7"/>
  <c r="B371" i="7"/>
  <c r="L184" i="8"/>
  <c r="J176" i="8" s="1"/>
  <c r="L185" i="8"/>
  <c r="J184" i="8"/>
  <c r="J177" i="8" s="1"/>
  <c r="J185" i="8"/>
  <c r="D13" i="9"/>
  <c r="D22" i="9"/>
  <c r="D12" i="9"/>
  <c r="D10" i="9"/>
  <c r="D21" i="9"/>
  <c r="D19" i="9"/>
  <c r="D16" i="9"/>
  <c r="D15" i="9"/>
  <c r="D18" i="9"/>
  <c r="D11" i="9"/>
  <c r="D17" i="9"/>
  <c r="D20" i="9"/>
  <c r="D14" i="9"/>
  <c r="B369" i="9"/>
  <c r="C369" i="9"/>
  <c r="F369" i="9" s="1"/>
  <c r="H369" i="9"/>
  <c r="E369" i="9"/>
  <c r="D369" i="9"/>
  <c r="G369" i="9" s="1"/>
  <c r="A370" i="9"/>
  <c r="AB84" i="8"/>
  <c r="W98" i="8"/>
  <c r="T38" i="8" s="1"/>
  <c r="AA84" i="8"/>
  <c r="X98" i="8"/>
  <c r="T55" i="9"/>
  <c r="D362" i="9"/>
  <c r="T56" i="9" s="1"/>
  <c r="AE87" i="8"/>
  <c r="T49" i="8" s="1"/>
  <c r="D370" i="9" l="1"/>
  <c r="G370" i="9" s="1"/>
  <c r="H370" i="9"/>
  <c r="B370" i="9"/>
  <c r="C370" i="9"/>
  <c r="F370" i="9" s="1"/>
  <c r="E370" i="9"/>
  <c r="A371" i="9"/>
  <c r="H372" i="7"/>
  <c r="D372" i="7"/>
  <c r="G372" i="7" s="1"/>
  <c r="A373" i="7"/>
  <c r="C372" i="7"/>
  <c r="F372" i="7" s="1"/>
  <c r="B372" i="7"/>
  <c r="E372" i="7"/>
  <c r="W89" i="7"/>
  <c r="W95" i="7" s="1"/>
  <c r="W96" i="7" s="1"/>
  <c r="W90" i="7"/>
  <c r="W92" i="7"/>
  <c r="W91" i="7"/>
  <c r="W87" i="7"/>
  <c r="W93" i="7"/>
  <c r="B158" i="7"/>
  <c r="A161" i="7" s="1"/>
  <c r="S161" i="7"/>
  <c r="S162" i="7" s="1"/>
  <c r="T48" i="7"/>
  <c r="W161" i="7" s="1"/>
  <c r="W162" i="7" s="1"/>
  <c r="H370" i="8"/>
  <c r="C370" i="8"/>
  <c r="F370" i="8" s="1"/>
  <c r="D370" i="8"/>
  <c r="G370" i="8" s="1"/>
  <c r="A371" i="8"/>
  <c r="E370" i="8"/>
  <c r="B370" i="8"/>
  <c r="AB84" i="7"/>
  <c r="AA84" i="7"/>
  <c r="X98" i="7"/>
  <c r="W98" i="7"/>
  <c r="T38" i="7" s="1"/>
  <c r="AA87" i="9"/>
  <c r="AA90" i="9" s="1"/>
  <c r="AA86" i="9"/>
  <c r="X94" i="8"/>
  <c r="X92" i="8"/>
  <c r="X89" i="8"/>
  <c r="X95" i="8" s="1"/>
  <c r="X96" i="8" s="1"/>
  <c r="T39" i="8" s="1"/>
  <c r="X93" i="8"/>
  <c r="X90" i="8"/>
  <c r="X91" i="8"/>
  <c r="R201" i="8"/>
  <c r="V201" i="8" s="1"/>
  <c r="J210" i="8"/>
  <c r="K209" i="8"/>
  <c r="L211" i="8"/>
  <c r="J211" i="8" s="1"/>
  <c r="T52" i="8" s="1"/>
  <c r="T55" i="7"/>
  <c r="D362" i="7"/>
  <c r="T56" i="7" s="1"/>
  <c r="X91" i="9"/>
  <c r="X94" i="9"/>
  <c r="X90" i="9"/>
  <c r="X89" i="9"/>
  <c r="X95" i="9" s="1"/>
  <c r="X96" i="9" s="1"/>
  <c r="T39" i="9" s="1"/>
  <c r="X93" i="9"/>
  <c r="X92" i="9"/>
  <c r="T162" i="9"/>
  <c r="V162" i="9"/>
  <c r="X162" i="9"/>
  <c r="Z162" i="9" s="1"/>
  <c r="AB162" i="9" s="1"/>
  <c r="AA87" i="8"/>
  <c r="AA90" i="8" s="1"/>
  <c r="AA86" i="8"/>
  <c r="T42" i="8"/>
  <c r="J174" i="8"/>
  <c r="T43" i="8"/>
  <c r="B161" i="8"/>
  <c r="A162" i="8"/>
  <c r="J210" i="9"/>
  <c r="L211" i="9"/>
  <c r="J211" i="9" s="1"/>
  <c r="T52" i="9" s="1"/>
  <c r="R201" i="9"/>
  <c r="V201" i="9" s="1"/>
  <c r="K209" i="9"/>
  <c r="J174" i="9"/>
  <c r="T43" i="9"/>
  <c r="T42" i="9"/>
  <c r="J185" i="7"/>
  <c r="L185" i="7"/>
  <c r="J184" i="7"/>
  <c r="J177" i="7" s="1"/>
  <c r="L184" i="7"/>
  <c r="J176" i="7" s="1"/>
  <c r="J209" i="7"/>
  <c r="K206" i="7"/>
  <c r="A163" i="9"/>
  <c r="B162" i="9"/>
  <c r="AA86" i="7" l="1"/>
  <c r="AA87" i="7"/>
  <c r="AA90" i="7" s="1"/>
  <c r="B163" i="9"/>
  <c r="A164" i="9"/>
  <c r="J179" i="9"/>
  <c r="T46" i="9" s="1"/>
  <c r="J178" i="9"/>
  <c r="T47" i="9" s="1"/>
  <c r="J179" i="8"/>
  <c r="T46" i="8" s="1"/>
  <c r="J178" i="8"/>
  <c r="T47" i="8" s="1"/>
  <c r="S201" i="8"/>
  <c r="W201" i="8" s="1"/>
  <c r="L212" i="8"/>
  <c r="J212" i="8" s="1"/>
  <c r="T51" i="8" s="1"/>
  <c r="X162" i="8"/>
  <c r="Z162" i="8" s="1"/>
  <c r="AB162" i="8" s="1"/>
  <c r="T162" i="8"/>
  <c r="V162" i="8"/>
  <c r="T44" i="8"/>
  <c r="U161" i="8"/>
  <c r="U162" i="8" s="1"/>
  <c r="T45" i="8"/>
  <c r="R201" i="7"/>
  <c r="V201" i="7" s="1"/>
  <c r="K209" i="7"/>
  <c r="L211" i="7"/>
  <c r="J211" i="7" s="1"/>
  <c r="T52" i="7" s="1"/>
  <c r="J210" i="7"/>
  <c r="S201" i="9"/>
  <c r="W201" i="9" s="1"/>
  <c r="L212" i="9"/>
  <c r="J212" i="9" s="1"/>
  <c r="T51" i="9" s="1"/>
  <c r="U161" i="9"/>
  <c r="U162" i="9" s="1"/>
  <c r="T45" i="9"/>
  <c r="T44" i="9"/>
  <c r="AA89" i="9"/>
  <c r="AA91" i="9" s="1"/>
  <c r="AB91" i="9" s="1"/>
  <c r="AB90" i="9" s="1"/>
  <c r="AA93" i="9"/>
  <c r="AA94" i="9" s="1"/>
  <c r="T54" i="9" s="1"/>
  <c r="B161" i="7"/>
  <c r="A162" i="7"/>
  <c r="A163" i="8"/>
  <c r="B162" i="8"/>
  <c r="A372" i="9"/>
  <c r="E371" i="9"/>
  <c r="B371" i="9"/>
  <c r="C371" i="9"/>
  <c r="F371" i="9" s="1"/>
  <c r="H371" i="9"/>
  <c r="D371" i="9"/>
  <c r="G371" i="9" s="1"/>
  <c r="V202" i="9"/>
  <c r="V206" i="9" s="1"/>
  <c r="R202" i="9" s="1"/>
  <c r="V203" i="9"/>
  <c r="V205" i="9"/>
  <c r="V204" i="9"/>
  <c r="AA89" i="8"/>
  <c r="AA91" i="8" s="1"/>
  <c r="AB91" i="8" s="1"/>
  <c r="AB90" i="8" s="1"/>
  <c r="V203" i="8"/>
  <c r="V205" i="8"/>
  <c r="V204" i="8"/>
  <c r="V202" i="8"/>
  <c r="V206" i="8" s="1"/>
  <c r="R202" i="8" s="1"/>
  <c r="T43" i="7"/>
  <c r="T42" i="7"/>
  <c r="J174" i="7"/>
  <c r="C371" i="8"/>
  <c r="F371" i="8" s="1"/>
  <c r="B371" i="8"/>
  <c r="E371" i="8"/>
  <c r="A372" i="8"/>
  <c r="D371" i="8"/>
  <c r="G371" i="8" s="1"/>
  <c r="H371" i="8"/>
  <c r="X92" i="7"/>
  <c r="X89" i="7"/>
  <c r="X95" i="7" s="1"/>
  <c r="X96" i="7" s="1"/>
  <c r="T39" i="7" s="1"/>
  <c r="X90" i="7"/>
  <c r="X94" i="7"/>
  <c r="X93" i="7"/>
  <c r="X91" i="7"/>
  <c r="D373" i="7"/>
  <c r="G373" i="7" s="1"/>
  <c r="A374" i="7"/>
  <c r="H373" i="7"/>
  <c r="C373" i="7"/>
  <c r="F373" i="7" s="1"/>
  <c r="E373" i="7"/>
  <c r="B373" i="7"/>
  <c r="Y162" i="8" l="1"/>
  <c r="Y161" i="8"/>
  <c r="R208" i="9"/>
  <c r="R203" i="9"/>
  <c r="R212" i="9"/>
  <c r="R210" i="9"/>
  <c r="R205" i="9"/>
  <c r="R204" i="9"/>
  <c r="R211" i="9"/>
  <c r="R207" i="9"/>
  <c r="R209" i="9"/>
  <c r="R206" i="9"/>
  <c r="A164" i="8"/>
  <c r="B163" i="8"/>
  <c r="T162" i="7"/>
  <c r="X162" i="7"/>
  <c r="Z162" i="7" s="1"/>
  <c r="AB162" i="7" s="1"/>
  <c r="V162" i="7"/>
  <c r="W203" i="9"/>
  <c r="W204" i="9"/>
  <c r="W202" i="9"/>
  <c r="W206" i="9" s="1"/>
  <c r="S202" i="9" s="1"/>
  <c r="W205" i="9"/>
  <c r="C372" i="8"/>
  <c r="F372" i="8" s="1"/>
  <c r="A373" i="8"/>
  <c r="E372" i="8"/>
  <c r="D372" i="8"/>
  <c r="G372" i="8" s="1"/>
  <c r="H372" i="8"/>
  <c r="B372" i="8"/>
  <c r="T44" i="7"/>
  <c r="U161" i="7"/>
  <c r="U162" i="7" s="1"/>
  <c r="T45" i="7"/>
  <c r="J178" i="7"/>
  <c r="T47" i="7" s="1"/>
  <c r="J179" i="7"/>
  <c r="T46" i="7" s="1"/>
  <c r="AB93" i="8"/>
  <c r="AB94" i="8" s="1"/>
  <c r="T53" i="8" s="1"/>
  <c r="AB93" i="9"/>
  <c r="AB94" i="9" s="1"/>
  <c r="T53" i="9" s="1"/>
  <c r="A165" i="9"/>
  <c r="B164" i="9"/>
  <c r="Y162" i="9"/>
  <c r="Y161" i="9"/>
  <c r="B162" i="7"/>
  <c r="A163" i="7"/>
  <c r="AA93" i="8"/>
  <c r="AA94" i="8" s="1"/>
  <c r="T54" i="8" s="1"/>
  <c r="S201" i="7"/>
  <c r="W201" i="7" s="1"/>
  <c r="L212" i="7"/>
  <c r="J212" i="7" s="1"/>
  <c r="T51" i="7" s="1"/>
  <c r="AA161" i="8"/>
  <c r="AA162" i="8"/>
  <c r="B374" i="7"/>
  <c r="D374" i="7"/>
  <c r="G374" i="7" s="1"/>
  <c r="H374" i="7"/>
  <c r="A375" i="7"/>
  <c r="C374" i="7"/>
  <c r="F374" i="7" s="1"/>
  <c r="E374" i="7"/>
  <c r="R212" i="8"/>
  <c r="R211" i="8"/>
  <c r="R203" i="8"/>
  <c r="R208" i="8"/>
  <c r="R206" i="8"/>
  <c r="R210" i="8"/>
  <c r="R205" i="8"/>
  <c r="R209" i="8"/>
  <c r="R207" i="8"/>
  <c r="R204" i="8"/>
  <c r="D372" i="9"/>
  <c r="G372" i="9" s="1"/>
  <c r="H372" i="9"/>
  <c r="E372" i="9"/>
  <c r="C372" i="9"/>
  <c r="F372" i="9" s="1"/>
  <c r="B372" i="9"/>
  <c r="A373" i="9"/>
  <c r="AA161" i="9"/>
  <c r="AA162" i="9"/>
  <c r="V205" i="7"/>
  <c r="V202" i="7"/>
  <c r="V206" i="7" s="1"/>
  <c r="R202" i="7" s="1"/>
  <c r="V203" i="7"/>
  <c r="V204" i="7"/>
  <c r="W202" i="8"/>
  <c r="W206" i="8" s="1"/>
  <c r="S202" i="8" s="1"/>
  <c r="W203" i="8"/>
  <c r="W204" i="8"/>
  <c r="W205" i="8"/>
  <c r="AA89" i="7"/>
  <c r="AA91" i="7" s="1"/>
  <c r="AB91" i="7" s="1"/>
  <c r="AB90" i="7" s="1"/>
  <c r="E373" i="8" l="1"/>
  <c r="C373" i="8"/>
  <c r="F373" i="8" s="1"/>
  <c r="D373" i="8"/>
  <c r="G373" i="8" s="1"/>
  <c r="B373" i="8"/>
  <c r="H373" i="8"/>
  <c r="A374" i="8"/>
  <c r="Y162" i="7"/>
  <c r="Y161" i="7"/>
  <c r="B164" i="8"/>
  <c r="A165" i="8"/>
  <c r="AB93" i="7"/>
  <c r="AB94" i="7" s="1"/>
  <c r="T53" i="7" s="1"/>
  <c r="AA161" i="7"/>
  <c r="AA162" i="7"/>
  <c r="S210" i="9"/>
  <c r="S208" i="9"/>
  <c r="S207" i="9"/>
  <c r="S204" i="9"/>
  <c r="S206" i="9"/>
  <c r="S209" i="9"/>
  <c r="S211" i="9"/>
  <c r="S212" i="9"/>
  <c r="S205" i="9"/>
  <c r="S203" i="9"/>
  <c r="M211" i="9"/>
  <c r="B163" i="7"/>
  <c r="A164" i="7"/>
  <c r="B165" i="9"/>
  <c r="A166" i="9"/>
  <c r="R206" i="7"/>
  <c r="R205" i="7"/>
  <c r="R210" i="7"/>
  <c r="R207" i="7"/>
  <c r="R211" i="7"/>
  <c r="R208" i="7"/>
  <c r="R204" i="7"/>
  <c r="R209" i="7"/>
  <c r="R212" i="7"/>
  <c r="R203" i="7"/>
  <c r="AA93" i="7"/>
  <c r="AA94" i="7" s="1"/>
  <c r="T54" i="7" s="1"/>
  <c r="W204" i="7"/>
  <c r="W203" i="7"/>
  <c r="W202" i="7"/>
  <c r="W206" i="7" s="1"/>
  <c r="S202" i="7" s="1"/>
  <c r="W205" i="7"/>
  <c r="M211" i="8"/>
  <c r="D373" i="9"/>
  <c r="G373" i="9" s="1"/>
  <c r="C373" i="9"/>
  <c r="F373" i="9" s="1"/>
  <c r="A374" i="9"/>
  <c r="E373" i="9"/>
  <c r="H373" i="9"/>
  <c r="B373" i="9"/>
  <c r="S204" i="8"/>
  <c r="S210" i="8"/>
  <c r="S211" i="8"/>
  <c r="S203" i="8"/>
  <c r="S208" i="8"/>
  <c r="S207" i="8"/>
  <c r="S205" i="8"/>
  <c r="S212" i="8"/>
  <c r="S209" i="8"/>
  <c r="S206" i="8"/>
  <c r="A376" i="7"/>
  <c r="H375" i="7"/>
  <c r="E375" i="7"/>
  <c r="D375" i="7"/>
  <c r="G375" i="7" s="1"/>
  <c r="B375" i="7"/>
  <c r="C375" i="7"/>
  <c r="F375" i="7" s="1"/>
  <c r="C374" i="9" l="1"/>
  <c r="F374" i="9" s="1"/>
  <c r="E374" i="9"/>
  <c r="D374" i="9"/>
  <c r="G374" i="9" s="1"/>
  <c r="A375" i="9"/>
  <c r="H374" i="9"/>
  <c r="B374" i="9"/>
  <c r="M212" i="9"/>
  <c r="M211" i="7"/>
  <c r="E374" i="8"/>
  <c r="D374" i="8"/>
  <c r="G374" i="8" s="1"/>
  <c r="C374" i="8"/>
  <c r="F374" i="8" s="1"/>
  <c r="H374" i="8"/>
  <c r="B374" i="8"/>
  <c r="A375" i="8"/>
  <c r="H376" i="7"/>
  <c r="E376" i="7"/>
  <c r="D376" i="7"/>
  <c r="G376" i="7" s="1"/>
  <c r="A377" i="7"/>
  <c r="C376" i="7"/>
  <c r="F376" i="7" s="1"/>
  <c r="B376" i="7"/>
  <c r="M212" i="8"/>
  <c r="A167" i="9"/>
  <c r="B166" i="9"/>
  <c r="S208" i="7"/>
  <c r="S206" i="7"/>
  <c r="S211" i="7"/>
  <c r="S212" i="7"/>
  <c r="S210" i="7"/>
  <c r="S205" i="7"/>
  <c r="S203" i="7"/>
  <c r="S204" i="7"/>
  <c r="S209" i="7"/>
  <c r="S207" i="7"/>
  <c r="A165" i="7"/>
  <c r="B164" i="7"/>
  <c r="B165" i="8"/>
  <c r="A166" i="8"/>
  <c r="A168" i="9" l="1"/>
  <c r="B167" i="9"/>
  <c r="A167" i="8"/>
  <c r="B166" i="8"/>
  <c r="H375" i="9"/>
  <c r="A376" i="9"/>
  <c r="D375" i="9"/>
  <c r="G375" i="9" s="1"/>
  <c r="E375" i="9"/>
  <c r="C375" i="9"/>
  <c r="F375" i="9" s="1"/>
  <c r="B375" i="9"/>
  <c r="M212" i="7"/>
  <c r="A166" i="7"/>
  <c r="B165" i="7"/>
  <c r="D377" i="7"/>
  <c r="G377" i="7" s="1"/>
  <c r="E377" i="7"/>
  <c r="H377" i="7"/>
  <c r="A378" i="7"/>
  <c r="C377" i="7"/>
  <c r="F377" i="7" s="1"/>
  <c r="B377" i="7"/>
  <c r="A376" i="8"/>
  <c r="H375" i="8"/>
  <c r="D375" i="8"/>
  <c r="G375" i="8" s="1"/>
  <c r="B375" i="8"/>
  <c r="C375" i="8"/>
  <c r="F375" i="8" s="1"/>
  <c r="E375" i="8"/>
  <c r="E376" i="8" l="1"/>
  <c r="H376" i="8"/>
  <c r="A377" i="8"/>
  <c r="D376" i="8"/>
  <c r="G376" i="8" s="1"/>
  <c r="C376" i="8"/>
  <c r="F376" i="8" s="1"/>
  <c r="B376" i="8"/>
  <c r="B166" i="7"/>
  <c r="A167" i="7"/>
  <c r="A168" i="8"/>
  <c r="B167" i="8"/>
  <c r="H376" i="9"/>
  <c r="D376" i="9"/>
  <c r="G376" i="9" s="1"/>
  <c r="E376" i="9"/>
  <c r="A377" i="9"/>
  <c r="B376" i="9"/>
  <c r="C376" i="9"/>
  <c r="F376" i="9" s="1"/>
  <c r="E378" i="7"/>
  <c r="D378" i="7"/>
  <c r="G378" i="7" s="1"/>
  <c r="C378" i="7"/>
  <c r="F378" i="7" s="1"/>
  <c r="H378" i="7"/>
  <c r="A379" i="7"/>
  <c r="B378" i="7"/>
  <c r="B168" i="9"/>
  <c r="A169" i="9"/>
  <c r="B169" i="9" l="1"/>
  <c r="A170" i="9"/>
  <c r="A168" i="7"/>
  <c r="B167" i="7"/>
  <c r="H377" i="9"/>
  <c r="B377" i="9"/>
  <c r="D377" i="9"/>
  <c r="G377" i="9" s="1"/>
  <c r="A378" i="9"/>
  <c r="E377" i="9"/>
  <c r="C377" i="9"/>
  <c r="F377" i="9" s="1"/>
  <c r="D377" i="8"/>
  <c r="G377" i="8" s="1"/>
  <c r="E377" i="8"/>
  <c r="H377" i="8"/>
  <c r="C377" i="8"/>
  <c r="F377" i="8" s="1"/>
  <c r="A378" i="8"/>
  <c r="B377" i="8"/>
  <c r="E379" i="7"/>
  <c r="D379" i="7"/>
  <c r="G379" i="7" s="1"/>
  <c r="B379" i="7"/>
  <c r="C379" i="7"/>
  <c r="F379" i="7" s="1"/>
  <c r="H379" i="7"/>
  <c r="A380" i="7"/>
  <c r="A169" i="8"/>
  <c r="B168" i="8"/>
  <c r="H378" i="9" l="1"/>
  <c r="D378" i="9"/>
  <c r="G378" i="9" s="1"/>
  <c r="A379" i="9"/>
  <c r="C378" i="9"/>
  <c r="F378" i="9" s="1"/>
  <c r="E378" i="9"/>
  <c r="B378" i="9"/>
  <c r="H380" i="7"/>
  <c r="D380" i="7"/>
  <c r="G380" i="7" s="1"/>
  <c r="A381" i="7"/>
  <c r="C380" i="7"/>
  <c r="F380" i="7" s="1"/>
  <c r="B380" i="7"/>
  <c r="E380" i="7"/>
  <c r="B168" i="7"/>
  <c r="A169" i="7"/>
  <c r="E378" i="8"/>
  <c r="D378" i="8"/>
  <c r="G378" i="8" s="1"/>
  <c r="B378" i="8"/>
  <c r="C378" i="8"/>
  <c r="F378" i="8" s="1"/>
  <c r="H378" i="8"/>
  <c r="A379" i="8"/>
  <c r="A171" i="9"/>
  <c r="B170" i="9"/>
  <c r="B169" i="8"/>
  <c r="A170" i="8"/>
  <c r="A170" i="7" l="1"/>
  <c r="B169" i="7"/>
  <c r="B170" i="8"/>
  <c r="A171" i="8"/>
  <c r="B171" i="9"/>
  <c r="A172" i="9"/>
  <c r="D379" i="9"/>
  <c r="G379" i="9" s="1"/>
  <c r="C379" i="9"/>
  <c r="F379" i="9" s="1"/>
  <c r="H379" i="9"/>
  <c r="B379" i="9"/>
  <c r="E379" i="9"/>
  <c r="A380" i="9"/>
  <c r="C379" i="8"/>
  <c r="F379" i="8" s="1"/>
  <c r="D379" i="8"/>
  <c r="G379" i="8" s="1"/>
  <c r="A380" i="8"/>
  <c r="H379" i="8"/>
  <c r="E379" i="8"/>
  <c r="B379" i="8"/>
  <c r="A382" i="7"/>
  <c r="E381" i="7"/>
  <c r="D381" i="7"/>
  <c r="G381" i="7" s="1"/>
  <c r="B381" i="7"/>
  <c r="H381" i="7"/>
  <c r="C381" i="7"/>
  <c r="F381" i="7" s="1"/>
  <c r="E380" i="8" l="1"/>
  <c r="H380" i="8"/>
  <c r="C380" i="8"/>
  <c r="F380" i="8" s="1"/>
  <c r="D380" i="8"/>
  <c r="G380" i="8" s="1"/>
  <c r="B380" i="8"/>
  <c r="A381" i="8"/>
  <c r="H380" i="9"/>
  <c r="D380" i="9"/>
  <c r="G380" i="9" s="1"/>
  <c r="E380" i="9"/>
  <c r="C380" i="9"/>
  <c r="F380" i="9" s="1"/>
  <c r="B380" i="9"/>
  <c r="A381" i="9"/>
  <c r="B171" i="8"/>
  <c r="A172" i="8"/>
  <c r="B382" i="7"/>
  <c r="A383" i="7"/>
  <c r="C382" i="7"/>
  <c r="F382" i="7" s="1"/>
  <c r="D382" i="7"/>
  <c r="G382" i="7" s="1"/>
  <c r="H382" i="7"/>
  <c r="E382" i="7"/>
  <c r="A173" i="9"/>
  <c r="B172" i="9"/>
  <c r="A171" i="7"/>
  <c r="B170" i="7"/>
  <c r="C381" i="8" l="1"/>
  <c r="F381" i="8" s="1"/>
  <c r="D381" i="8"/>
  <c r="G381" i="8" s="1"/>
  <c r="E381" i="8"/>
  <c r="B381" i="8"/>
  <c r="A382" i="8"/>
  <c r="H381" i="8"/>
  <c r="B173" i="9"/>
  <c r="A174" i="9"/>
  <c r="B381" i="9"/>
  <c r="D381" i="9"/>
  <c r="G381" i="9" s="1"/>
  <c r="A382" i="9"/>
  <c r="H381" i="9"/>
  <c r="E381" i="9"/>
  <c r="C381" i="9"/>
  <c r="F381" i="9" s="1"/>
  <c r="B172" i="8"/>
  <c r="A173" i="8"/>
  <c r="D383" i="7"/>
  <c r="G383" i="7" s="1"/>
  <c r="E383" i="7"/>
  <c r="C383" i="7"/>
  <c r="F383" i="7" s="1"/>
  <c r="H383" i="7"/>
  <c r="B383" i="7"/>
  <c r="A384" i="7"/>
  <c r="A172" i="7"/>
  <c r="B171" i="7"/>
  <c r="A383" i="8" l="1"/>
  <c r="C382" i="8"/>
  <c r="F382" i="8" s="1"/>
  <c r="D382" i="8"/>
  <c r="G382" i="8" s="1"/>
  <c r="B382" i="8"/>
  <c r="H382" i="8"/>
  <c r="E382" i="8"/>
  <c r="A174" i="8"/>
  <c r="B173" i="8"/>
  <c r="A173" i="7"/>
  <c r="B172" i="7"/>
  <c r="A385" i="7"/>
  <c r="B384" i="7"/>
  <c r="E384" i="7"/>
  <c r="D384" i="7"/>
  <c r="G384" i="7" s="1"/>
  <c r="H384" i="7"/>
  <c r="C384" i="7"/>
  <c r="F384" i="7" s="1"/>
  <c r="D382" i="9"/>
  <c r="G382" i="9" s="1"/>
  <c r="B382" i="9"/>
  <c r="H382" i="9"/>
  <c r="A383" i="9"/>
  <c r="C382" i="9"/>
  <c r="F382" i="9" s="1"/>
  <c r="E382" i="9"/>
  <c r="B174" i="9"/>
  <c r="A175" i="9"/>
  <c r="A176" i="9" l="1"/>
  <c r="B175" i="9"/>
  <c r="A175" i="8"/>
  <c r="B174" i="8"/>
  <c r="B383" i="9"/>
  <c r="D383" i="9"/>
  <c r="G383" i="9" s="1"/>
  <c r="C383" i="9"/>
  <c r="F383" i="9" s="1"/>
  <c r="H383" i="9"/>
  <c r="E383" i="9"/>
  <c r="A384" i="9"/>
  <c r="A386" i="7"/>
  <c r="H385" i="7"/>
  <c r="D385" i="7"/>
  <c r="G385" i="7" s="1"/>
  <c r="B385" i="7"/>
  <c r="E385" i="7"/>
  <c r="C385" i="7"/>
  <c r="F385" i="7" s="1"/>
  <c r="A174" i="7"/>
  <c r="B173" i="7"/>
  <c r="B383" i="8"/>
  <c r="C383" i="8"/>
  <c r="F383" i="8" s="1"/>
  <c r="H383" i="8"/>
  <c r="D383" i="8"/>
  <c r="G383" i="8" s="1"/>
  <c r="E383" i="8"/>
  <c r="A384" i="8"/>
  <c r="A385" i="8" l="1"/>
  <c r="B384" i="8"/>
  <c r="H384" i="8"/>
  <c r="E384" i="8"/>
  <c r="D384" i="8"/>
  <c r="G384" i="8" s="1"/>
  <c r="C384" i="8"/>
  <c r="F384" i="8" s="1"/>
  <c r="H386" i="7"/>
  <c r="C386" i="7"/>
  <c r="F386" i="7" s="1"/>
  <c r="D386" i="7"/>
  <c r="G386" i="7" s="1"/>
  <c r="E386" i="7"/>
  <c r="B386" i="7"/>
  <c r="A387" i="7"/>
  <c r="B175" i="8"/>
  <c r="A176" i="8"/>
  <c r="H384" i="9"/>
  <c r="D384" i="9"/>
  <c r="G384" i="9" s="1"/>
  <c r="A385" i="9"/>
  <c r="B384" i="9"/>
  <c r="E384" i="9"/>
  <c r="C384" i="9"/>
  <c r="F384" i="9" s="1"/>
  <c r="B174" i="7"/>
  <c r="A175" i="7"/>
  <c r="B176" i="9"/>
  <c r="A177" i="9"/>
  <c r="E387" i="7" l="1"/>
  <c r="B387" i="7"/>
  <c r="H387" i="7"/>
  <c r="D387" i="7"/>
  <c r="G387" i="7" s="1"/>
  <c r="C387" i="7"/>
  <c r="F387" i="7" s="1"/>
  <c r="A388" i="7"/>
  <c r="A176" i="7"/>
  <c r="B175" i="7"/>
  <c r="A178" i="9"/>
  <c r="B177" i="9"/>
  <c r="A177" i="8"/>
  <c r="B176" i="8"/>
  <c r="A386" i="9"/>
  <c r="E385" i="9"/>
  <c r="B385" i="9"/>
  <c r="D385" i="9"/>
  <c r="G385" i="9" s="1"/>
  <c r="H385" i="9"/>
  <c r="C385" i="9"/>
  <c r="F385" i="9" s="1"/>
  <c r="C385" i="8"/>
  <c r="F385" i="8" s="1"/>
  <c r="A386" i="8"/>
  <c r="H385" i="8"/>
  <c r="E385" i="8"/>
  <c r="D385" i="8"/>
  <c r="G385" i="8" s="1"/>
  <c r="B385" i="8"/>
  <c r="A177" i="7" l="1"/>
  <c r="B176" i="7"/>
  <c r="C386" i="8"/>
  <c r="F386" i="8" s="1"/>
  <c r="H386" i="8"/>
  <c r="B386" i="8"/>
  <c r="E386" i="8"/>
  <c r="D386" i="8"/>
  <c r="G386" i="8" s="1"/>
  <c r="A387" i="8"/>
  <c r="B177" i="8"/>
  <c r="A178" i="8"/>
  <c r="D388" i="7"/>
  <c r="G388" i="7" s="1"/>
  <c r="B388" i="7"/>
  <c r="C388" i="7"/>
  <c r="F388" i="7" s="1"/>
  <c r="H388" i="7"/>
  <c r="A389" i="7"/>
  <c r="E388" i="7"/>
  <c r="H386" i="9"/>
  <c r="E386" i="9"/>
  <c r="C386" i="9"/>
  <c r="F386" i="9" s="1"/>
  <c r="B386" i="9"/>
  <c r="A387" i="9"/>
  <c r="D386" i="9"/>
  <c r="G386" i="9" s="1"/>
  <c r="B178" i="9"/>
  <c r="A179" i="9"/>
  <c r="H389" i="7" l="1"/>
  <c r="C389" i="7"/>
  <c r="F389" i="7" s="1"/>
  <c r="D389" i="7"/>
  <c r="G389" i="7" s="1"/>
  <c r="B389" i="7"/>
  <c r="A390" i="7"/>
  <c r="E389" i="7"/>
  <c r="B179" i="9"/>
  <c r="A180" i="9"/>
  <c r="B387" i="8"/>
  <c r="A388" i="8"/>
  <c r="D387" i="8"/>
  <c r="G387" i="8" s="1"/>
  <c r="E387" i="8"/>
  <c r="C387" i="8"/>
  <c r="F387" i="8" s="1"/>
  <c r="H387" i="8"/>
  <c r="E387" i="9"/>
  <c r="C387" i="9"/>
  <c r="F387" i="9" s="1"/>
  <c r="B387" i="9"/>
  <c r="D387" i="9"/>
  <c r="G387" i="9" s="1"/>
  <c r="A388" i="9"/>
  <c r="H387" i="9"/>
  <c r="A179" i="8"/>
  <c r="B178" i="8"/>
  <c r="A178" i="7"/>
  <c r="B177" i="7"/>
  <c r="B178" i="7" l="1"/>
  <c r="A179" i="7"/>
  <c r="D390" i="7"/>
  <c r="G390" i="7" s="1"/>
  <c r="A391" i="7"/>
  <c r="B390" i="7"/>
  <c r="E390" i="7"/>
  <c r="H390" i="7"/>
  <c r="C390" i="7"/>
  <c r="F390" i="7" s="1"/>
  <c r="A180" i="8"/>
  <c r="B179" i="8"/>
  <c r="B388" i="9"/>
  <c r="A389" i="9"/>
  <c r="H388" i="9"/>
  <c r="C388" i="9"/>
  <c r="F388" i="9" s="1"/>
  <c r="D388" i="9"/>
  <c r="G388" i="9" s="1"/>
  <c r="E388" i="9"/>
  <c r="B180" i="9"/>
  <c r="A181" i="9"/>
  <c r="B388" i="8"/>
  <c r="E388" i="8"/>
  <c r="D388" i="8"/>
  <c r="G388" i="8" s="1"/>
  <c r="A389" i="8"/>
  <c r="H388" i="8"/>
  <c r="C388" i="8"/>
  <c r="F388" i="8" s="1"/>
  <c r="B389" i="8" l="1"/>
  <c r="C389" i="8"/>
  <c r="F389" i="8" s="1"/>
  <c r="E389" i="8"/>
  <c r="D389" i="8"/>
  <c r="G389" i="8" s="1"/>
  <c r="H389" i="8"/>
  <c r="A390" i="8"/>
  <c r="E389" i="9"/>
  <c r="C389" i="9"/>
  <c r="F389" i="9" s="1"/>
  <c r="A390" i="9"/>
  <c r="D389" i="9"/>
  <c r="G389" i="9" s="1"/>
  <c r="H389" i="9"/>
  <c r="B389" i="9"/>
  <c r="H391" i="7"/>
  <c r="D391" i="7"/>
  <c r="G391" i="7" s="1"/>
  <c r="A392" i="7"/>
  <c r="C391" i="7"/>
  <c r="F391" i="7" s="1"/>
  <c r="E391" i="7"/>
  <c r="B391" i="7"/>
  <c r="A182" i="9"/>
  <c r="B181" i="9"/>
  <c r="B179" i="7"/>
  <c r="A180" i="7"/>
  <c r="A181" i="8"/>
  <c r="B180" i="8"/>
  <c r="A182" i="8" l="1"/>
  <c r="B181" i="8"/>
  <c r="C392" i="7"/>
  <c r="F392" i="7" s="1"/>
  <c r="D392" i="7"/>
  <c r="G392" i="7" s="1"/>
  <c r="A393" i="7"/>
  <c r="E392" i="7"/>
  <c r="H392" i="7"/>
  <c r="B392" i="7"/>
  <c r="A181" i="7"/>
  <c r="B180" i="7"/>
  <c r="B182" i="9"/>
  <c r="A183" i="9"/>
  <c r="C390" i="8"/>
  <c r="F390" i="8" s="1"/>
  <c r="E390" i="8"/>
  <c r="D390" i="8"/>
  <c r="G390" i="8" s="1"/>
  <c r="B390" i="8"/>
  <c r="A391" i="8"/>
  <c r="H390" i="8"/>
  <c r="H390" i="9"/>
  <c r="B390" i="9"/>
  <c r="C390" i="9"/>
  <c r="F390" i="9" s="1"/>
  <c r="D390" i="9"/>
  <c r="G390" i="9" s="1"/>
  <c r="E390" i="9"/>
  <c r="A391" i="9"/>
  <c r="H391" i="9" l="1"/>
  <c r="A392" i="9"/>
  <c r="B391" i="9"/>
  <c r="D391" i="9"/>
  <c r="G391" i="9" s="1"/>
  <c r="C391" i="9"/>
  <c r="F391" i="9" s="1"/>
  <c r="E391" i="9"/>
  <c r="H393" i="7"/>
  <c r="E393" i="7"/>
  <c r="B393" i="7"/>
  <c r="D393" i="7"/>
  <c r="G393" i="7" s="1"/>
  <c r="A394" i="7"/>
  <c r="C393" i="7"/>
  <c r="F393" i="7" s="1"/>
  <c r="A184" i="9"/>
  <c r="B183" i="9"/>
  <c r="H391" i="8"/>
  <c r="C391" i="8"/>
  <c r="F391" i="8" s="1"/>
  <c r="E391" i="8"/>
  <c r="A392" i="8"/>
  <c r="B391" i="8"/>
  <c r="D391" i="8"/>
  <c r="G391" i="8" s="1"/>
  <c r="A182" i="7"/>
  <c r="B181" i="7"/>
  <c r="A183" i="8"/>
  <c r="B182" i="8"/>
  <c r="A183" i="7" l="1"/>
  <c r="B182" i="7"/>
  <c r="A185" i="9"/>
  <c r="B184" i="9"/>
  <c r="H394" i="7"/>
  <c r="E394" i="7"/>
  <c r="A395" i="7"/>
  <c r="D394" i="7"/>
  <c r="G394" i="7" s="1"/>
  <c r="B394" i="7"/>
  <c r="C394" i="7"/>
  <c r="F394" i="7" s="1"/>
  <c r="C392" i="8"/>
  <c r="F392" i="8" s="1"/>
  <c r="D392" i="8"/>
  <c r="G392" i="8" s="1"/>
  <c r="E392" i="8"/>
  <c r="A393" i="8"/>
  <c r="H392" i="8"/>
  <c r="B392" i="8"/>
  <c r="H392" i="9"/>
  <c r="A393" i="9"/>
  <c r="C392" i="9"/>
  <c r="F392" i="9" s="1"/>
  <c r="D392" i="9"/>
  <c r="G392" i="9" s="1"/>
  <c r="E392" i="9"/>
  <c r="B392" i="9"/>
  <c r="A184" i="8"/>
  <c r="B183" i="8"/>
  <c r="H395" i="7" l="1"/>
  <c r="E395" i="7"/>
  <c r="D395" i="7"/>
  <c r="G395" i="7" s="1"/>
  <c r="B395" i="7"/>
  <c r="A396" i="7"/>
  <c r="C395" i="7"/>
  <c r="F395" i="7" s="1"/>
  <c r="B185" i="9"/>
  <c r="A186" i="9"/>
  <c r="B184" i="8"/>
  <c r="A185" i="8"/>
  <c r="A394" i="8"/>
  <c r="H393" i="8"/>
  <c r="D393" i="8"/>
  <c r="G393" i="8" s="1"/>
  <c r="C393" i="8"/>
  <c r="F393" i="8" s="1"/>
  <c r="E393" i="8"/>
  <c r="B393" i="8"/>
  <c r="C393" i="9"/>
  <c r="F393" i="9" s="1"/>
  <c r="A394" i="9"/>
  <c r="B393" i="9"/>
  <c r="E393" i="9"/>
  <c r="H393" i="9"/>
  <c r="D393" i="9"/>
  <c r="G393" i="9" s="1"/>
  <c r="B183" i="7"/>
  <c r="A184" i="7"/>
  <c r="B184" i="7" l="1"/>
  <c r="A185" i="7"/>
  <c r="E396" i="7"/>
  <c r="C396" i="7"/>
  <c r="F396" i="7" s="1"/>
  <c r="A397" i="7"/>
  <c r="B396" i="7"/>
  <c r="H396" i="7"/>
  <c r="D396" i="7"/>
  <c r="G396" i="7" s="1"/>
  <c r="A187" i="9"/>
  <c r="B186" i="9"/>
  <c r="A395" i="8"/>
  <c r="H394" i="8"/>
  <c r="B394" i="8"/>
  <c r="C394" i="8"/>
  <c r="F394" i="8" s="1"/>
  <c r="D394" i="8"/>
  <c r="G394" i="8" s="1"/>
  <c r="E394" i="8"/>
  <c r="C394" i="9"/>
  <c r="F394" i="9" s="1"/>
  <c r="D394" i="9"/>
  <c r="G394" i="9" s="1"/>
  <c r="E394" i="9"/>
  <c r="B394" i="9"/>
  <c r="A395" i="9"/>
  <c r="H394" i="9"/>
  <c r="B185" i="8"/>
  <c r="A186" i="8"/>
  <c r="A187" i="8" l="1"/>
  <c r="B186" i="8"/>
  <c r="B397" i="7"/>
  <c r="E397" i="7"/>
  <c r="C397" i="7"/>
  <c r="F397" i="7" s="1"/>
  <c r="A398" i="7"/>
  <c r="D397" i="7"/>
  <c r="G397" i="7" s="1"/>
  <c r="H397" i="7"/>
  <c r="H395" i="9"/>
  <c r="B395" i="9"/>
  <c r="E395" i="9"/>
  <c r="A396" i="9"/>
  <c r="C395" i="9"/>
  <c r="F395" i="9" s="1"/>
  <c r="D395" i="9"/>
  <c r="G395" i="9" s="1"/>
  <c r="A396" i="8"/>
  <c r="E395" i="8"/>
  <c r="C395" i="8"/>
  <c r="F395" i="8" s="1"/>
  <c r="H395" i="8"/>
  <c r="B395" i="8"/>
  <c r="D395" i="8"/>
  <c r="G395" i="8" s="1"/>
  <c r="A186" i="7"/>
  <c r="B185" i="7"/>
  <c r="B187" i="9"/>
  <c r="A188" i="9"/>
  <c r="A189" i="9" l="1"/>
  <c r="B188" i="9"/>
  <c r="B186" i="7"/>
  <c r="A187" i="7"/>
  <c r="B396" i="8"/>
  <c r="C396" i="8"/>
  <c r="F396" i="8" s="1"/>
  <c r="H396" i="8"/>
  <c r="E396" i="8"/>
  <c r="A397" i="8"/>
  <c r="D396" i="8"/>
  <c r="G396" i="8" s="1"/>
  <c r="C396" i="9"/>
  <c r="F396" i="9" s="1"/>
  <c r="E396" i="9"/>
  <c r="B396" i="9"/>
  <c r="H396" i="9"/>
  <c r="A397" i="9"/>
  <c r="D396" i="9"/>
  <c r="G396" i="9" s="1"/>
  <c r="B398" i="7"/>
  <c r="E398" i="7"/>
  <c r="A399" i="7"/>
  <c r="D398" i="7"/>
  <c r="G398" i="7" s="1"/>
  <c r="H398" i="7"/>
  <c r="C398" i="7"/>
  <c r="F398" i="7" s="1"/>
  <c r="A188" i="8"/>
  <c r="B187" i="8"/>
  <c r="A188" i="7" l="1"/>
  <c r="B187" i="7"/>
  <c r="C397" i="9"/>
  <c r="F397" i="9" s="1"/>
  <c r="B397" i="9"/>
  <c r="H397" i="9"/>
  <c r="A398" i="9"/>
  <c r="D397" i="9"/>
  <c r="G397" i="9" s="1"/>
  <c r="E397" i="9"/>
  <c r="D399" i="7"/>
  <c r="G399" i="7" s="1"/>
  <c r="B399" i="7"/>
  <c r="C399" i="7"/>
  <c r="F399" i="7" s="1"/>
  <c r="H399" i="7"/>
  <c r="A400" i="7"/>
  <c r="E399" i="7"/>
  <c r="B188" i="8"/>
  <c r="A189" i="8"/>
  <c r="A398" i="8"/>
  <c r="B397" i="8"/>
  <c r="D397" i="8"/>
  <c r="G397" i="8" s="1"/>
  <c r="E397" i="8"/>
  <c r="C397" i="8"/>
  <c r="F397" i="8" s="1"/>
  <c r="H397" i="8"/>
  <c r="A190" i="9"/>
  <c r="B189" i="9"/>
  <c r="A190" i="8" l="1"/>
  <c r="B189" i="8"/>
  <c r="H400" i="7"/>
  <c r="D400" i="7"/>
  <c r="G400" i="7" s="1"/>
  <c r="C400" i="7"/>
  <c r="F400" i="7" s="1"/>
  <c r="A401" i="7"/>
  <c r="E400" i="7"/>
  <c r="B400" i="7"/>
  <c r="H398" i="9"/>
  <c r="C398" i="9"/>
  <c r="F398" i="9" s="1"/>
  <c r="D398" i="9"/>
  <c r="G398" i="9" s="1"/>
  <c r="A399" i="9"/>
  <c r="E398" i="9"/>
  <c r="B398" i="9"/>
  <c r="A191" i="9"/>
  <c r="B190" i="9"/>
  <c r="D398" i="8"/>
  <c r="G398" i="8" s="1"/>
  <c r="B398" i="8"/>
  <c r="E398" i="8"/>
  <c r="C398" i="8"/>
  <c r="F398" i="8" s="1"/>
  <c r="A399" i="8"/>
  <c r="H398" i="8"/>
  <c r="B188" i="7"/>
  <c r="A189" i="7"/>
  <c r="C401" i="7" l="1"/>
  <c r="F401" i="7" s="1"/>
  <c r="D401" i="7"/>
  <c r="G401" i="7" s="1"/>
  <c r="B401" i="7"/>
  <c r="A402" i="7"/>
  <c r="H401" i="7"/>
  <c r="E401" i="7"/>
  <c r="E399" i="8"/>
  <c r="H399" i="8"/>
  <c r="D399" i="8"/>
  <c r="G399" i="8" s="1"/>
  <c r="A400" i="8"/>
  <c r="B399" i="8"/>
  <c r="C399" i="8"/>
  <c r="F399" i="8" s="1"/>
  <c r="A190" i="7"/>
  <c r="B189" i="7"/>
  <c r="B191" i="9"/>
  <c r="A192" i="9"/>
  <c r="A400" i="9"/>
  <c r="H399" i="9"/>
  <c r="D399" i="9"/>
  <c r="G399" i="9" s="1"/>
  <c r="B399" i="9"/>
  <c r="E399" i="9"/>
  <c r="C399" i="9"/>
  <c r="F399" i="9" s="1"/>
  <c r="B190" i="8"/>
  <c r="A191" i="8"/>
  <c r="A403" i="7" l="1"/>
  <c r="C402" i="7"/>
  <c r="F402" i="7" s="1"/>
  <c r="B402" i="7"/>
  <c r="H402" i="7"/>
  <c r="E402" i="7"/>
  <c r="D402" i="7"/>
  <c r="G402" i="7" s="1"/>
  <c r="B191" i="8"/>
  <c r="A192" i="8"/>
  <c r="A193" i="9"/>
  <c r="B192" i="9"/>
  <c r="E400" i="8"/>
  <c r="A401" i="8"/>
  <c r="H400" i="8"/>
  <c r="B400" i="8"/>
  <c r="D400" i="8"/>
  <c r="G400" i="8" s="1"/>
  <c r="C400" i="8"/>
  <c r="F400" i="8" s="1"/>
  <c r="B190" i="7"/>
  <c r="A191" i="7"/>
  <c r="B400" i="9"/>
  <c r="E400" i="9"/>
  <c r="D400" i="9"/>
  <c r="G400" i="9" s="1"/>
  <c r="H400" i="9"/>
  <c r="C400" i="9"/>
  <c r="F400" i="9" s="1"/>
  <c r="A401" i="9"/>
  <c r="B401" i="9" l="1"/>
  <c r="A402" i="9"/>
  <c r="D401" i="9"/>
  <c r="G401" i="9" s="1"/>
  <c r="C401" i="9"/>
  <c r="F401" i="9" s="1"/>
  <c r="H401" i="9"/>
  <c r="E401" i="9"/>
  <c r="A193" i="8"/>
  <c r="B192" i="8"/>
  <c r="A402" i="8"/>
  <c r="H401" i="8"/>
  <c r="B401" i="8"/>
  <c r="C401" i="8"/>
  <c r="F401" i="8" s="1"/>
  <c r="E401" i="8"/>
  <c r="D401" i="8"/>
  <c r="G401" i="8" s="1"/>
  <c r="A192" i="7"/>
  <c r="B191" i="7"/>
  <c r="A194" i="9"/>
  <c r="B193" i="9"/>
  <c r="D403" i="7"/>
  <c r="G403" i="7" s="1"/>
  <c r="B403" i="7"/>
  <c r="E403" i="7"/>
  <c r="H403" i="7"/>
  <c r="A404" i="7"/>
  <c r="C403" i="7"/>
  <c r="F403" i="7" s="1"/>
  <c r="A194" i="8" l="1"/>
  <c r="B193" i="8"/>
  <c r="B192" i="7"/>
  <c r="A193" i="7"/>
  <c r="C402" i="9"/>
  <c r="F402" i="9" s="1"/>
  <c r="D402" i="9"/>
  <c r="G402" i="9" s="1"/>
  <c r="B402" i="9"/>
  <c r="A403" i="9"/>
  <c r="H402" i="9"/>
  <c r="E402" i="9"/>
  <c r="C404" i="7"/>
  <c r="F404" i="7" s="1"/>
  <c r="H404" i="7"/>
  <c r="D404" i="7"/>
  <c r="G404" i="7" s="1"/>
  <c r="A405" i="7"/>
  <c r="B404" i="7"/>
  <c r="E404" i="7"/>
  <c r="A195" i="9"/>
  <c r="B194" i="9"/>
  <c r="E402" i="8"/>
  <c r="H402" i="8"/>
  <c r="A403" i="8"/>
  <c r="D402" i="8"/>
  <c r="G402" i="8" s="1"/>
  <c r="C402" i="8"/>
  <c r="F402" i="8" s="1"/>
  <c r="B402" i="8"/>
  <c r="B405" i="7" l="1"/>
  <c r="E405" i="7"/>
  <c r="C405" i="7"/>
  <c r="F405" i="7" s="1"/>
  <c r="H405" i="7"/>
  <c r="D405" i="7"/>
  <c r="G405" i="7" s="1"/>
  <c r="A406" i="7"/>
  <c r="A194" i="7"/>
  <c r="B193" i="7"/>
  <c r="E403" i="9"/>
  <c r="A404" i="9"/>
  <c r="B403" i="9"/>
  <c r="D403" i="9"/>
  <c r="G403" i="9" s="1"/>
  <c r="H403" i="9"/>
  <c r="C403" i="9"/>
  <c r="F403" i="9" s="1"/>
  <c r="C403" i="8"/>
  <c r="F403" i="8" s="1"/>
  <c r="A404" i="8"/>
  <c r="D403" i="8"/>
  <c r="G403" i="8" s="1"/>
  <c r="B403" i="8"/>
  <c r="E403" i="8"/>
  <c r="H403" i="8"/>
  <c r="B195" i="9"/>
  <c r="A196" i="9"/>
  <c r="B194" i="8"/>
  <c r="A195" i="8"/>
  <c r="D404" i="8" l="1"/>
  <c r="G404" i="8" s="1"/>
  <c r="A405" i="8"/>
  <c r="E404" i="8"/>
  <c r="B404" i="8"/>
  <c r="C404" i="8"/>
  <c r="F404" i="8" s="1"/>
  <c r="H404" i="8"/>
  <c r="B194" i="7"/>
  <c r="A195" i="7"/>
  <c r="E406" i="7"/>
  <c r="B406" i="7"/>
  <c r="A407" i="7"/>
  <c r="H406" i="7"/>
  <c r="C406" i="7"/>
  <c r="F406" i="7" s="1"/>
  <c r="D406" i="7"/>
  <c r="G406" i="7" s="1"/>
  <c r="B195" i="8"/>
  <c r="A196" i="8"/>
  <c r="A197" i="9"/>
  <c r="B196" i="9"/>
  <c r="B404" i="9"/>
  <c r="D404" i="9"/>
  <c r="G404" i="9" s="1"/>
  <c r="H404" i="9"/>
  <c r="C404" i="9"/>
  <c r="F404" i="9" s="1"/>
  <c r="E404" i="9"/>
  <c r="A405" i="9"/>
  <c r="C405" i="9" l="1"/>
  <c r="F405" i="9" s="1"/>
  <c r="D405" i="9"/>
  <c r="G405" i="9" s="1"/>
  <c r="H405" i="9"/>
  <c r="B405" i="9"/>
  <c r="E405" i="9"/>
  <c r="A406" i="9"/>
  <c r="B196" i="8"/>
  <c r="A197" i="8"/>
  <c r="C407" i="7"/>
  <c r="F407" i="7" s="1"/>
  <c r="H407" i="7"/>
  <c r="D407" i="7"/>
  <c r="G407" i="7" s="1"/>
  <c r="A408" i="7"/>
  <c r="B407" i="7"/>
  <c r="E407" i="7"/>
  <c r="C405" i="8"/>
  <c r="F405" i="8" s="1"/>
  <c r="A406" i="8"/>
  <c r="B405" i="8"/>
  <c r="H405" i="8"/>
  <c r="D405" i="8"/>
  <c r="G405" i="8" s="1"/>
  <c r="E405" i="8"/>
  <c r="B195" i="7"/>
  <c r="A196" i="7"/>
  <c r="B197" i="9"/>
  <c r="A198" i="9"/>
  <c r="B197" i="8" l="1"/>
  <c r="A198" i="8"/>
  <c r="E406" i="8"/>
  <c r="D406" i="8"/>
  <c r="G406" i="8" s="1"/>
  <c r="C406" i="8"/>
  <c r="F406" i="8" s="1"/>
  <c r="H406" i="8"/>
  <c r="A407" i="8"/>
  <c r="B406" i="8"/>
  <c r="B198" i="9"/>
  <c r="A199" i="9"/>
  <c r="A197" i="7"/>
  <c r="B196" i="7"/>
  <c r="A407" i="9"/>
  <c r="H406" i="9"/>
  <c r="D406" i="9"/>
  <c r="G406" i="9" s="1"/>
  <c r="C406" i="9"/>
  <c r="F406" i="9" s="1"/>
  <c r="B406" i="9"/>
  <c r="E406" i="9"/>
  <c r="C408" i="7"/>
  <c r="F408" i="7" s="1"/>
  <c r="B408" i="7"/>
  <c r="H408" i="7"/>
  <c r="E408" i="7"/>
  <c r="D408" i="7"/>
  <c r="G408" i="7" s="1"/>
  <c r="A409" i="7"/>
  <c r="A408" i="8" l="1"/>
  <c r="D407" i="8"/>
  <c r="G407" i="8" s="1"/>
  <c r="C407" i="8"/>
  <c r="F407" i="8" s="1"/>
  <c r="B407" i="8"/>
  <c r="E407" i="8"/>
  <c r="H407" i="8"/>
  <c r="A410" i="7"/>
  <c r="D409" i="7"/>
  <c r="G409" i="7" s="1"/>
  <c r="C409" i="7"/>
  <c r="F409" i="7" s="1"/>
  <c r="B409" i="7"/>
  <c r="H409" i="7"/>
  <c r="E409" i="7"/>
  <c r="E407" i="9"/>
  <c r="C407" i="9"/>
  <c r="F407" i="9" s="1"/>
  <c r="B407" i="9"/>
  <c r="D407" i="9"/>
  <c r="G407" i="9" s="1"/>
  <c r="H407" i="9"/>
  <c r="A408" i="9"/>
  <c r="A198" i="7"/>
  <c r="B197" i="7"/>
  <c r="A200" i="9"/>
  <c r="B199" i="9"/>
  <c r="A199" i="8"/>
  <c r="B198" i="8"/>
  <c r="B199" i="8" l="1"/>
  <c r="A200" i="8"/>
  <c r="A201" i="9"/>
  <c r="B200" i="9"/>
  <c r="A199" i="7"/>
  <c r="B198" i="7"/>
  <c r="B410" i="7"/>
  <c r="C410" i="7"/>
  <c r="F410" i="7" s="1"/>
  <c r="H410" i="7"/>
  <c r="E410" i="7"/>
  <c r="A411" i="7"/>
  <c r="D410" i="7"/>
  <c r="G410" i="7" s="1"/>
  <c r="C408" i="9"/>
  <c r="F408" i="9" s="1"/>
  <c r="D408" i="9"/>
  <c r="G408" i="9" s="1"/>
  <c r="E408" i="9"/>
  <c r="H408" i="9"/>
  <c r="B408" i="9"/>
  <c r="A409" i="9"/>
  <c r="C408" i="8"/>
  <c r="F408" i="8" s="1"/>
  <c r="B408" i="8"/>
  <c r="E408" i="8"/>
  <c r="D408" i="8"/>
  <c r="G408" i="8" s="1"/>
  <c r="H408" i="8"/>
  <c r="A409" i="8"/>
  <c r="B199" i="7" l="1"/>
  <c r="A200" i="7"/>
  <c r="C409" i="8"/>
  <c r="F409" i="8" s="1"/>
  <c r="D409" i="8"/>
  <c r="G409" i="8" s="1"/>
  <c r="E409" i="8"/>
  <c r="B409" i="8"/>
  <c r="A410" i="8"/>
  <c r="H409" i="8"/>
  <c r="A412" i="7"/>
  <c r="E411" i="7"/>
  <c r="B411" i="7"/>
  <c r="D411" i="7"/>
  <c r="G411" i="7" s="1"/>
  <c r="C411" i="7"/>
  <c r="F411" i="7" s="1"/>
  <c r="H411" i="7"/>
  <c r="A202" i="9"/>
  <c r="B201" i="9"/>
  <c r="A410" i="9"/>
  <c r="D409" i="9"/>
  <c r="G409" i="9" s="1"/>
  <c r="C409" i="9"/>
  <c r="F409" i="9" s="1"/>
  <c r="B409" i="9"/>
  <c r="E409" i="9"/>
  <c r="H409" i="9"/>
  <c r="A201" i="8"/>
  <c r="B200" i="8"/>
  <c r="C410" i="8" l="1"/>
  <c r="F410" i="8" s="1"/>
  <c r="E410" i="8"/>
  <c r="D410" i="8"/>
  <c r="G410" i="8" s="1"/>
  <c r="A411" i="8"/>
  <c r="B410" i="8"/>
  <c r="H410" i="8"/>
  <c r="B201" i="8"/>
  <c r="A202" i="8"/>
  <c r="A201" i="7"/>
  <c r="B200" i="7"/>
  <c r="B202" i="9"/>
  <c r="A203" i="9"/>
  <c r="B410" i="9"/>
  <c r="H410" i="9"/>
  <c r="D410" i="9"/>
  <c r="G410" i="9" s="1"/>
  <c r="E410" i="9"/>
  <c r="A411" i="9"/>
  <c r="C410" i="9"/>
  <c r="F410" i="9" s="1"/>
  <c r="C412" i="7"/>
  <c r="F412" i="7" s="1"/>
  <c r="H412" i="7"/>
  <c r="D412" i="7"/>
  <c r="G412" i="7" s="1"/>
  <c r="E412" i="7"/>
  <c r="B412" i="7"/>
  <c r="A413" i="7"/>
  <c r="B202" i="8" l="1"/>
  <c r="A203" i="8"/>
  <c r="B413" i="7"/>
  <c r="D413" i="7"/>
  <c r="G413" i="7" s="1"/>
  <c r="C413" i="7"/>
  <c r="F413" i="7" s="1"/>
  <c r="H413" i="7"/>
  <c r="E413" i="7"/>
  <c r="A414" i="7"/>
  <c r="B203" i="9"/>
  <c r="A204" i="9"/>
  <c r="C411" i="8"/>
  <c r="F411" i="8" s="1"/>
  <c r="E411" i="8"/>
  <c r="H411" i="8"/>
  <c r="A412" i="8"/>
  <c r="D411" i="8"/>
  <c r="G411" i="8" s="1"/>
  <c r="B411" i="8"/>
  <c r="H411" i="9"/>
  <c r="E411" i="9"/>
  <c r="C411" i="9"/>
  <c r="F411" i="9" s="1"/>
  <c r="B411" i="9"/>
  <c r="A412" i="9"/>
  <c r="D411" i="9"/>
  <c r="G411" i="9" s="1"/>
  <c r="B201" i="7"/>
  <c r="A202" i="7"/>
  <c r="B202" i="7" l="1"/>
  <c r="A203" i="7"/>
  <c r="E412" i="8"/>
  <c r="B412" i="8"/>
  <c r="D412" i="8"/>
  <c r="G412" i="8" s="1"/>
  <c r="H412" i="8"/>
  <c r="C412" i="8"/>
  <c r="F412" i="8" s="1"/>
  <c r="A413" i="8"/>
  <c r="E414" i="7"/>
  <c r="H414" i="7"/>
  <c r="B414" i="7"/>
  <c r="C414" i="7"/>
  <c r="F414" i="7" s="1"/>
  <c r="D414" i="7"/>
  <c r="G414" i="7" s="1"/>
  <c r="D412" i="9"/>
  <c r="G412" i="9" s="1"/>
  <c r="B412" i="9"/>
  <c r="C412" i="9"/>
  <c r="F412" i="9" s="1"/>
  <c r="E412" i="9"/>
  <c r="H412" i="9"/>
  <c r="A413" i="9"/>
  <c r="A205" i="9"/>
  <c r="B204" i="9"/>
  <c r="B203" i="8"/>
  <c r="A204" i="8"/>
  <c r="B413" i="8" l="1"/>
  <c r="E413" i="8"/>
  <c r="D413" i="8"/>
  <c r="G413" i="8" s="1"/>
  <c r="H413" i="8"/>
  <c r="C413" i="8"/>
  <c r="F413" i="8" s="1"/>
  <c r="A414" i="8"/>
  <c r="B204" i="8"/>
  <c r="A205" i="8"/>
  <c r="D413" i="9"/>
  <c r="G413" i="9" s="1"/>
  <c r="B413" i="9"/>
  <c r="A414" i="9"/>
  <c r="C413" i="9"/>
  <c r="F413" i="9" s="1"/>
  <c r="H413" i="9"/>
  <c r="E413" i="9"/>
  <c r="A204" i="7"/>
  <c r="B203" i="7"/>
  <c r="B205" i="9"/>
  <c r="A206" i="9"/>
  <c r="D414" i="8" l="1"/>
  <c r="G414" i="8" s="1"/>
  <c r="B414" i="8"/>
  <c r="H414" i="8"/>
  <c r="E414" i="8"/>
  <c r="C414" i="8"/>
  <c r="F414" i="8" s="1"/>
  <c r="A206" i="8"/>
  <c r="B205" i="8"/>
  <c r="A205" i="7"/>
  <c r="B204" i="7"/>
  <c r="C414" i="9"/>
  <c r="F414" i="9" s="1"/>
  <c r="H414" i="9"/>
  <c r="E414" i="9"/>
  <c r="B414" i="9"/>
  <c r="D414" i="9"/>
  <c r="G414" i="9" s="1"/>
  <c r="A207" i="9"/>
  <c r="B206" i="9"/>
  <c r="A206" i="7" l="1"/>
  <c r="B205" i="7"/>
  <c r="A207" i="8"/>
  <c r="B206" i="8"/>
  <c r="A208" i="9"/>
  <c r="B207" i="9"/>
  <c r="A209" i="9" l="1"/>
  <c r="B208" i="9"/>
  <c r="B207" i="8"/>
  <c r="A208" i="8"/>
  <c r="B206" i="7"/>
  <c r="A207" i="7"/>
  <c r="A209" i="8" l="1"/>
  <c r="B208" i="8"/>
  <c r="A208" i="7"/>
  <c r="B207" i="7"/>
  <c r="B209" i="9"/>
  <c r="A210" i="9"/>
  <c r="A211" i="9" l="1"/>
  <c r="B210" i="9"/>
  <c r="A209" i="7"/>
  <c r="B208" i="7"/>
  <c r="A210" i="8"/>
  <c r="B209" i="8"/>
  <c r="A211" i="8" l="1"/>
  <c r="B210" i="8"/>
  <c r="B209" i="7"/>
  <c r="A210" i="7"/>
  <c r="B211" i="9"/>
  <c r="A212" i="9"/>
  <c r="A211" i="7" l="1"/>
  <c r="B210" i="7"/>
  <c r="A213" i="9"/>
  <c r="B212" i="9"/>
  <c r="A212" i="8"/>
  <c r="B211" i="8"/>
  <c r="B212" i="8" l="1"/>
  <c r="A213" i="8"/>
  <c r="A214" i="9"/>
  <c r="B213" i="9"/>
  <c r="B211" i="7"/>
  <c r="A212" i="7"/>
  <c r="B213" i="8" l="1"/>
  <c r="A214" i="8"/>
  <c r="B212" i="7"/>
  <c r="A213" i="7"/>
  <c r="A215" i="9"/>
  <c r="B214" i="9"/>
  <c r="A216" i="9" l="1"/>
  <c r="B215" i="9"/>
  <c r="A214" i="7"/>
  <c r="B213" i="7"/>
  <c r="B214" i="8"/>
  <c r="A215" i="8"/>
  <c r="B215" i="8" l="1"/>
  <c r="A216" i="8"/>
  <c r="B214" i="7"/>
  <c r="A215" i="7"/>
  <c r="B216" i="9"/>
  <c r="A217" i="9"/>
  <c r="A218" i="9" l="1"/>
  <c r="B217" i="9"/>
  <c r="B215" i="7"/>
  <c r="A216" i="7"/>
  <c r="B216" i="8"/>
  <c r="A217" i="8"/>
  <c r="B216" i="7" l="1"/>
  <c r="A217" i="7"/>
  <c r="A218" i="8"/>
  <c r="B217" i="8"/>
  <c r="B218" i="9"/>
  <c r="A219" i="9"/>
  <c r="A220" i="9" l="1"/>
  <c r="B219" i="9"/>
  <c r="A219" i="8"/>
  <c r="B218" i="8"/>
  <c r="A218" i="7"/>
  <c r="B217" i="7"/>
  <c r="A221" i="9" l="1"/>
  <c r="B220" i="9"/>
  <c r="A219" i="7"/>
  <c r="B218" i="7"/>
  <c r="B219" i="8"/>
  <c r="A220" i="8"/>
  <c r="A221" i="8" l="1"/>
  <c r="B220" i="8"/>
  <c r="A220" i="7"/>
  <c r="B219" i="7"/>
  <c r="A222" i="9"/>
  <c r="B221" i="9"/>
  <c r="A223" i="9" l="1"/>
  <c r="B222" i="9"/>
  <c r="A221" i="7"/>
  <c r="B220" i="7"/>
  <c r="A222" i="8"/>
  <c r="B221" i="8"/>
  <c r="B222" i="8" l="1"/>
  <c r="A223" i="8"/>
  <c r="A222" i="7"/>
  <c r="B221" i="7"/>
  <c r="B223" i="9"/>
  <c r="A224" i="9"/>
  <c r="B224" i="9" l="1"/>
  <c r="A225" i="9"/>
  <c r="B223" i="8"/>
  <c r="A224" i="8"/>
  <c r="B222" i="7"/>
  <c r="A223" i="7"/>
  <c r="A224" i="7" l="1"/>
  <c r="B223" i="7"/>
  <c r="A225" i="8"/>
  <c r="B224" i="8"/>
  <c r="B225" i="9"/>
  <c r="A226" i="9"/>
  <c r="A226" i="8" l="1"/>
  <c r="B225" i="8"/>
  <c r="B226" i="9"/>
  <c r="A227" i="9"/>
  <c r="A225" i="7"/>
  <c r="B224" i="7"/>
  <c r="B225" i="7" l="1"/>
  <c r="A226" i="7"/>
  <c r="A228" i="9"/>
  <c r="B227" i="9"/>
  <c r="B226" i="8"/>
  <c r="A227" i="8"/>
  <c r="B227" i="8" l="1"/>
  <c r="A228" i="8"/>
  <c r="A229" i="9"/>
  <c r="B228" i="9"/>
  <c r="B226" i="7"/>
  <c r="A227" i="7"/>
  <c r="B229" i="9" l="1"/>
  <c r="A230" i="9"/>
  <c r="B228" i="8"/>
  <c r="A229" i="8"/>
  <c r="A228" i="7"/>
  <c r="B227" i="7"/>
  <c r="B229" i="8" l="1"/>
  <c r="A230" i="8"/>
  <c r="B228" i="7"/>
  <c r="A229" i="7"/>
  <c r="B230" i="9"/>
  <c r="A231" i="9"/>
  <c r="A232" i="9" l="1"/>
  <c r="B231" i="9"/>
  <c r="B229" i="7"/>
  <c r="A230" i="7"/>
  <c r="A231" i="8"/>
  <c r="B230" i="8"/>
  <c r="A231" i="7" l="1"/>
  <c r="B230" i="7"/>
  <c r="A232" i="8"/>
  <c r="B231" i="8"/>
  <c r="A233" i="9"/>
  <c r="B232" i="9"/>
  <c r="B233" i="9" l="1"/>
  <c r="A234" i="9"/>
  <c r="A233" i="8"/>
  <c r="B232" i="8"/>
  <c r="B231" i="7"/>
  <c r="A232" i="7"/>
  <c r="A234" i="8" l="1"/>
  <c r="B233" i="8"/>
  <c r="A235" i="9"/>
  <c r="B234" i="9"/>
  <c r="B232" i="7"/>
  <c r="A233" i="7"/>
  <c r="B233" i="7" l="1"/>
  <c r="A234" i="7"/>
  <c r="A236" i="9"/>
  <c r="B235" i="9"/>
  <c r="A235" i="8"/>
  <c r="B234" i="8"/>
  <c r="A236" i="8" l="1"/>
  <c r="B235" i="8"/>
  <c r="A237" i="9"/>
  <c r="B236" i="9"/>
  <c r="A235" i="7"/>
  <c r="B234" i="7"/>
  <c r="B237" i="9" l="1"/>
  <c r="A238" i="9"/>
  <c r="A236" i="7"/>
  <c r="B235" i="7"/>
  <c r="B236" i="8"/>
  <c r="A237" i="8"/>
  <c r="A238" i="8" l="1"/>
  <c r="B237" i="8"/>
  <c r="A237" i="7"/>
  <c r="B236" i="7"/>
  <c r="B238" i="9"/>
  <c r="A239" i="9"/>
  <c r="B239" i="9" l="1"/>
  <c r="A240" i="9"/>
  <c r="A238" i="7"/>
  <c r="B237" i="7"/>
  <c r="B238" i="8"/>
  <c r="A239" i="8"/>
  <c r="B238" i="7" l="1"/>
  <c r="A239" i="7"/>
  <c r="A241" i="9"/>
  <c r="B240" i="9"/>
  <c r="B239" i="8"/>
  <c r="A240" i="8"/>
  <c r="B240" i="8" l="1"/>
  <c r="A241" i="8"/>
  <c r="A242" i="9"/>
  <c r="B241" i="9"/>
  <c r="A240" i="7"/>
  <c r="B239" i="7"/>
  <c r="B240" i="7" l="1"/>
  <c r="A241" i="7"/>
  <c r="A243" i="9"/>
  <c r="B242" i="9"/>
  <c r="B241" i="8"/>
  <c r="A242" i="8"/>
  <c r="A244" i="9" l="1"/>
  <c r="B243" i="9"/>
  <c r="B241" i="7"/>
  <c r="A242" i="7"/>
  <c r="A243" i="8"/>
  <c r="B242" i="8"/>
  <c r="A244" i="8" l="1"/>
  <c r="B243" i="8"/>
  <c r="B242" i="7"/>
  <c r="A243" i="7"/>
  <c r="A245" i="9"/>
  <c r="B244" i="9"/>
  <c r="A244" i="7" l="1"/>
  <c r="B243" i="7"/>
  <c r="A246" i="9"/>
  <c r="B245" i="9"/>
  <c r="B244" i="8"/>
  <c r="A245" i="8"/>
  <c r="B245" i="8" l="1"/>
  <c r="A246" i="8"/>
  <c r="A247" i="9"/>
  <c r="B246" i="9"/>
  <c r="B244" i="7"/>
  <c r="A245" i="7"/>
  <c r="B245" i="7" l="1"/>
  <c r="A246" i="7"/>
  <c r="A248" i="9"/>
  <c r="B247" i="9"/>
  <c r="B246" i="8"/>
  <c r="A247" i="8"/>
  <c r="B247" i="8" l="1"/>
  <c r="A248" i="8"/>
  <c r="B248" i="9"/>
  <c r="A249" i="9"/>
  <c r="A247" i="7"/>
  <c r="B246" i="7"/>
  <c r="A248" i="7" l="1"/>
  <c r="B247" i="7"/>
  <c r="B249" i="9"/>
  <c r="A250" i="9"/>
  <c r="B248" i="8"/>
  <c r="A249" i="8"/>
  <c r="A250" i="8" l="1"/>
  <c r="B249" i="8"/>
  <c r="A251" i="9"/>
  <c r="B250" i="9"/>
  <c r="B248" i="7"/>
  <c r="A249" i="7"/>
  <c r="B249" i="7" l="1"/>
  <c r="A250" i="7"/>
  <c r="A252" i="9"/>
  <c r="B251" i="9"/>
  <c r="A251" i="8"/>
  <c r="B250" i="8"/>
  <c r="B251" i="8" l="1"/>
  <c r="A252" i="8"/>
  <c r="A253" i="9"/>
  <c r="B252" i="9"/>
  <c r="A251" i="7"/>
  <c r="B250" i="7"/>
  <c r="B253" i="9" l="1"/>
  <c r="A254" i="9"/>
  <c r="A253" i="8"/>
  <c r="B252" i="8"/>
  <c r="B251" i="7"/>
  <c r="A252" i="7"/>
  <c r="B253" i="8" l="1"/>
  <c r="A254" i="8"/>
  <c r="A255" i="9"/>
  <c r="B254" i="9"/>
  <c r="B252" i="7"/>
  <c r="A253" i="7"/>
  <c r="B253" i="7" l="1"/>
  <c r="A254" i="7"/>
  <c r="B255" i="9"/>
  <c r="A256" i="9"/>
  <c r="B254" i="8"/>
  <c r="A255" i="8"/>
  <c r="A257" i="9" l="1"/>
  <c r="B256" i="9"/>
  <c r="B255" i="8"/>
  <c r="A256" i="8"/>
  <c r="A255" i="7"/>
  <c r="B254" i="7"/>
  <c r="A256" i="7" l="1"/>
  <c r="B255" i="7"/>
  <c r="A257" i="8"/>
  <c r="B256" i="8"/>
  <c r="A258" i="9"/>
  <c r="B257" i="9"/>
  <c r="B258" i="9" l="1"/>
  <c r="A259" i="9"/>
  <c r="B257" i="8"/>
  <c r="A258" i="8"/>
  <c r="A257" i="7"/>
  <c r="B256" i="7"/>
  <c r="B258" i="8" l="1"/>
  <c r="A259" i="8"/>
  <c r="B259" i="9"/>
  <c r="A260" i="9"/>
  <c r="B260" i="9" s="1"/>
  <c r="A258" i="7"/>
  <c r="B257" i="7"/>
  <c r="A259" i="7" l="1"/>
  <c r="B258" i="7"/>
  <c r="B259" i="8"/>
  <c r="A260" i="8"/>
  <c r="B260" i="8" s="1"/>
  <c r="B259" i="7" l="1"/>
  <c r="A260" i="7"/>
  <c r="B260"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Um usuário do Microsoft Office satisfeito</author>
  </authors>
  <commentList>
    <comment ref="T1" authorId="0" shapeId="0" xr:uid="{00000000-0006-0000-0200-000001000000}">
      <text>
        <r>
          <rPr>
            <sz val="8"/>
            <color indexed="81"/>
            <rFont val="Tahoma"/>
            <family val="2"/>
          </rPr>
          <t>This spreadsheet was developed by John Mulhausen, Ph.D., CIH. First beta version 1992, current beta version 1995. It was given for trial testing without any claims or warranties. Please do not distribute.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Um usuário do Microsoft Office satisfeito</author>
  </authors>
  <commentList>
    <comment ref="T1" authorId="0" shapeId="0" xr:uid="{00000000-0006-0000-0700-000001000000}">
      <text>
        <r>
          <rPr>
            <sz val="8"/>
            <color indexed="81"/>
            <rFont val="Tahoma"/>
            <family val="2"/>
          </rPr>
          <t>This spreadsheet was developed by John Mulhausen, Ph.D., CIH. First beta version 1992, current beta version 1995. It was given for trial testing without any claims or warranties. Please do not distribute.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Um usuário do Microsoft Office satisfeito</author>
  </authors>
  <commentList>
    <comment ref="T1" authorId="0" shapeId="0" xr:uid="{00000000-0006-0000-0800-000001000000}">
      <text>
        <r>
          <rPr>
            <sz val="8"/>
            <color indexed="81"/>
            <rFont val="Tahoma"/>
            <family val="2"/>
          </rPr>
          <t>This spreadsheet was developed by John Mulhausen, Ph.D., CIH. First beta version 1992, current beta version 1995. It was given for trial testing without any claims or warranties. Please do not distribute.</t>
        </r>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3">
    <bk>
      <extLst>
        <ext uri="{3e2802c4-a4d2-4d8b-9148-e3be6c30e623}">
          <xlrd:rvb i="0"/>
        </ext>
      </extLst>
    </bk>
    <bk>
      <extLst>
        <ext uri="{3e2802c4-a4d2-4d8b-9148-e3be6c30e623}">
          <xlrd:rvb i="1"/>
        </ext>
      </extLst>
    </bk>
    <bk>
      <extLst>
        <ext uri="{3e2802c4-a4d2-4d8b-9148-e3be6c30e623}">
          <xlrd:rvb i="2"/>
        </ext>
      </extLst>
    </bk>
  </futureMetadata>
  <valueMetadata count="3">
    <bk>
      <rc t="1" v="0"/>
    </bk>
    <bk>
      <rc t="1" v="1"/>
    </bk>
    <bk>
      <rc t="1" v="2"/>
    </bk>
  </valueMetadata>
</metadata>
</file>

<file path=xl/sharedStrings.xml><?xml version="1.0" encoding="utf-8"?>
<sst xmlns="http://schemas.openxmlformats.org/spreadsheetml/2006/main" count="1380" uniqueCount="437">
  <si>
    <t>RELATÓRIO DE EXPOSIÇÃO</t>
  </si>
  <si>
    <t>Unidade:</t>
  </si>
  <si>
    <t>Agente Ambiental</t>
  </si>
  <si>
    <t>Tipo de Exposição</t>
  </si>
  <si>
    <t>Trajetória</t>
  </si>
  <si>
    <t>Registro Fotográfico:</t>
  </si>
  <si>
    <t>Ag. Ambiental:</t>
  </si>
  <si>
    <t>RUÍDO CONTÍNUO OU INTERMITENTE</t>
  </si>
  <si>
    <t>Av.</t>
  </si>
  <si>
    <t>Data</t>
  </si>
  <si>
    <t>Jornada (h:mm)</t>
  </si>
  <si>
    <t>Condições de Amostragem</t>
  </si>
  <si>
    <t>DPG</t>
  </si>
  <si>
    <t>Análise e Interpretação dos Resultados:</t>
  </si>
  <si>
    <t>Medidas de Controle Recomendadas:</t>
  </si>
  <si>
    <t>Engenharia</t>
  </si>
  <si>
    <t>Administrativa</t>
  </si>
  <si>
    <t>Individual</t>
  </si>
  <si>
    <t>CALOR</t>
  </si>
  <si>
    <t>Tbn</t>
  </si>
  <si>
    <t>Tbs</t>
  </si>
  <si>
    <t>Tg</t>
  </si>
  <si>
    <t>T. Exp. (min)</t>
  </si>
  <si>
    <t>T. Exp. (h:mm)</t>
  </si>
  <si>
    <t>ACGIH</t>
  </si>
  <si>
    <t>Amostra</t>
  </si>
  <si>
    <t>Poeira</t>
  </si>
  <si>
    <t>NR 15</t>
  </si>
  <si>
    <t>Substância</t>
  </si>
  <si>
    <t>Relatório Nº</t>
  </si>
  <si>
    <t>Resultados TWA</t>
  </si>
  <si>
    <t>Resultados STEL</t>
  </si>
  <si>
    <t>Dose</t>
  </si>
  <si>
    <t>Conc.</t>
  </si>
  <si>
    <t>Jornada (hh:mm)</t>
  </si>
  <si>
    <t>Registro gráfico da distribuição e medidas estatísticas:</t>
  </si>
  <si>
    <t>Número de Amostras:</t>
  </si>
  <si>
    <t>Média Aritmética:</t>
  </si>
  <si>
    <t>Média Geométrica:</t>
  </si>
  <si>
    <t>Desvio Padrão:</t>
  </si>
  <si>
    <t>P95:</t>
  </si>
  <si>
    <t>Dose Média (%)</t>
  </si>
  <si>
    <t>Plotting Position</t>
  </si>
  <si>
    <t>Data Rank</t>
  </si>
  <si>
    <t>Industrial Hygiene Statistics Spreadsheet</t>
  </si>
  <si>
    <t>For instructions see Appendix XIII in "A Strategy for Assessing and Managing Occupational Exposures"</t>
  </si>
  <si>
    <t xml:space="preserve"> J.R. Mulhausen and J. Damiano AIHA 1998</t>
  </si>
  <si>
    <t>Data Description</t>
  </si>
  <si>
    <t>OEL</t>
  </si>
  <si>
    <t>Lognormal Plot "Y Scale"</t>
  </si>
  <si>
    <t>Normal Plot "Y Scale"</t>
  </si>
  <si>
    <t>DATA FOR BEST FIT LINE</t>
  </si>
  <si>
    <t>LN data vs Probit for best fit line</t>
  </si>
  <si>
    <t>Sample Data</t>
  </si>
  <si>
    <t>Plot Position</t>
  </si>
  <si>
    <t>Y Axis</t>
  </si>
  <si>
    <t>X Axis</t>
  </si>
  <si>
    <t>X</t>
  </si>
  <si>
    <t>PLOT POS. 2 (NEEDED FOR SLOPE OF LINE) - Adjusted Plot Position</t>
  </si>
  <si>
    <t>&gt; OEL ?</t>
  </si>
  <si>
    <t>LN(Data)</t>
  </si>
  <si>
    <t>(x-mean)2</t>
  </si>
  <si>
    <t>(y-meany)2</t>
  </si>
  <si>
    <t>Descriptive Statistics</t>
  </si>
  <si>
    <t>Number of Samples</t>
  </si>
  <si>
    <t>Mean</t>
  </si>
  <si>
    <t>Median</t>
  </si>
  <si>
    <t>Standard Deviation</t>
  </si>
  <si>
    <t>CV</t>
  </si>
  <si>
    <t>Range</t>
  </si>
  <si>
    <t>Minimum</t>
  </si>
  <si>
    <t>Maximum</t>
  </si>
  <si>
    <t>GM</t>
  </si>
  <si>
    <t>GSD</t>
  </si>
  <si>
    <t>Mean of LN(Data)</t>
  </si>
  <si>
    <t>SD of LN(Data)</t>
  </si>
  <si>
    <t>Percent &gt; OEL</t>
  </si>
  <si>
    <t>Normal Statistics</t>
  </si>
  <si>
    <t>1,95%UCL(Mean) - Z</t>
  </si>
  <si>
    <t>1,95%LCL(Mean) - Z</t>
  </si>
  <si>
    <t>95%ile - Z</t>
  </si>
  <si>
    <t>W Test (Data)</t>
  </si>
  <si>
    <t>Normal (a=0.05)?</t>
  </si>
  <si>
    <t>Lognormal Statistics</t>
  </si>
  <si>
    <t>AM of sample data</t>
  </si>
  <si>
    <t>AM - MLE</t>
  </si>
  <si>
    <t>AM - MVUE</t>
  </si>
  <si>
    <t>1,95%UCL- Norm t stats</t>
  </si>
  <si>
    <t>1,95%LCL - Norm t stats</t>
  </si>
  <si>
    <t>1,95%UCL LogNorm t</t>
  </si>
  <si>
    <t>1,95%LCL LogNorm t</t>
  </si>
  <si>
    <t>UCL - Modified Cox</t>
  </si>
  <si>
    <t>LCL - Modified Cox</t>
  </si>
  <si>
    <t>1,95%UCL - "Exact"</t>
  </si>
  <si>
    <t>1,95%LCL - "Exact"</t>
  </si>
  <si>
    <t>95%ile</t>
  </si>
  <si>
    <t>UTL 95%, 95%</t>
  </si>
  <si>
    <t>95% UCL % &gt; OEL</t>
  </si>
  <si>
    <t>95% LCL % &gt; OEL</t>
  </si>
  <si>
    <t>95%PEP (Upper)</t>
  </si>
  <si>
    <t>95%PEP (Lower)</t>
  </si>
  <si>
    <t>W Test (ln Data)</t>
  </si>
  <si>
    <t>Lognorm (a=0.05)?</t>
  </si>
  <si>
    <t>SUM</t>
  </si>
  <si>
    <t>Least Squares Raw Data</t>
  </si>
  <si>
    <t>Slope</t>
  </si>
  <si>
    <t>Y Intercept</t>
  </si>
  <si>
    <t>Plot Points</t>
  </si>
  <si>
    <t>Y</t>
  </si>
  <si>
    <t>Find Max nearest multiple of 10 for log-prob plot Y axis</t>
  </si>
  <si>
    <t>Ranked Data for Better Plot</t>
  </si>
  <si>
    <t>Data for plot</t>
  </si>
  <si>
    <t>Determine Y cross Point</t>
  </si>
  <si>
    <t>No.</t>
  </si>
  <si>
    <t>Plot Data</t>
  </si>
  <si>
    <t>Z Value</t>
  </si>
  <si>
    <t>Ni</t>
  </si>
  <si>
    <t>Xi (Ranked)</t>
  </si>
  <si>
    <t>Least Squares LN(Data)</t>
  </si>
  <si>
    <t>LN(X)</t>
  </si>
  <si>
    <t>X1=</t>
  </si>
  <si>
    <t>X2=</t>
  </si>
  <si>
    <t>PEP</t>
  </si>
  <si>
    <t>UTL</t>
  </si>
  <si>
    <t>Calculate MVUE</t>
  </si>
  <si>
    <t>Check calc</t>
  </si>
  <si>
    <t>Z (95%)</t>
  </si>
  <si>
    <t>n</t>
  </si>
  <si>
    <t>Mean Ln(Data)</t>
  </si>
  <si>
    <t>G</t>
  </si>
  <si>
    <t>Mean (ln x)</t>
  </si>
  <si>
    <t>SD Ln(Data)</t>
  </si>
  <si>
    <t>A</t>
  </si>
  <si>
    <t>SD (ln x)</t>
  </si>
  <si>
    <t>B</t>
  </si>
  <si>
    <t>K</t>
  </si>
  <si>
    <t>SD^2/2</t>
  </si>
  <si>
    <t>C</t>
  </si>
  <si>
    <t>UTL=</t>
  </si>
  <si>
    <t>term 1</t>
  </si>
  <si>
    <t>B^2</t>
  </si>
  <si>
    <t>term 2</t>
  </si>
  <si>
    <t>4AC</t>
  </si>
  <si>
    <t>term 3</t>
  </si>
  <si>
    <t>SQRT(B^2-4AC)</t>
  </si>
  <si>
    <t>term 4</t>
  </si>
  <si>
    <t>2A</t>
  </si>
  <si>
    <t>term 5</t>
  </si>
  <si>
    <t>U (UCL95%)</t>
  </si>
  <si>
    <t>term 6</t>
  </si>
  <si>
    <t>PEP (UCL95%)</t>
  </si>
  <si>
    <t>K FACTOR TABLE</t>
  </si>
  <si>
    <t>sum</t>
  </si>
  <si>
    <t>K (95, 95)</t>
  </si>
  <si>
    <t>MVUE</t>
  </si>
  <si>
    <t>MLE</t>
  </si>
  <si>
    <t>u</t>
  </si>
  <si>
    <t>Plotting the lognormal distribution</t>
  </si>
  <si>
    <t>99%ile/100=</t>
  </si>
  <si>
    <t>GM Plot</t>
  </si>
  <si>
    <t>AM Plot</t>
  </si>
  <si>
    <t>95%ile Plot</t>
  </si>
  <si>
    <t>LCL Plot</t>
  </si>
  <si>
    <t>UCL Plot</t>
  </si>
  <si>
    <t>F(x)</t>
  </si>
  <si>
    <t>O</t>
  </si>
  <si>
    <t>LAND's Exact 95% 1-Sided CI's</t>
  </si>
  <si>
    <t>s(ln x) =</t>
  </si>
  <si>
    <t>For C UCL</t>
  </si>
  <si>
    <t>n=</t>
  </si>
  <si>
    <t>a</t>
  </si>
  <si>
    <t>LCL %ile=</t>
  </si>
  <si>
    <t>b</t>
  </si>
  <si>
    <t>UCL %ile=</t>
  </si>
  <si>
    <t>c</t>
  </si>
  <si>
    <t xml:space="preserve"> MLE=</t>
  </si>
  <si>
    <t>Should be MLE with n, not n-1</t>
  </si>
  <si>
    <t>d</t>
  </si>
  <si>
    <t>S' =</t>
  </si>
  <si>
    <t>e</t>
  </si>
  <si>
    <t>C, LCL=</t>
  </si>
  <si>
    <t>f</t>
  </si>
  <si>
    <t>C, UCL=</t>
  </si>
  <si>
    <t>g</t>
  </si>
  <si>
    <t>LCL=</t>
  </si>
  <si>
    <t>h</t>
  </si>
  <si>
    <t>UCL=</t>
  </si>
  <si>
    <t>i</t>
  </si>
  <si>
    <t>Now it seems to be working</t>
  </si>
  <si>
    <t>j</t>
  </si>
  <si>
    <t>For C LCL</t>
  </si>
  <si>
    <t>C, UCL</t>
  </si>
  <si>
    <t>C, LCL</t>
  </si>
  <si>
    <t>3 to 7</t>
  </si>
  <si>
    <t>3 to 5</t>
  </si>
  <si>
    <t>8 t0 60</t>
  </si>
  <si>
    <t>6 to 60</t>
  </si>
  <si>
    <t>coefficients for C, 95% UCL</t>
  </si>
  <si>
    <t>Coefficients for Land's C, 95% LCL</t>
  </si>
  <si>
    <t>8 to 60</t>
  </si>
  <si>
    <t>z for LCL</t>
  </si>
  <si>
    <t>z for UCL</t>
  </si>
  <si>
    <t>n = 2 to 9</t>
  </si>
  <si>
    <t>Lookup</t>
  </si>
  <si>
    <t>-6 to -3</t>
  </si>
  <si>
    <t>90% CI on Exceedence Estimate (Odeh and Owen)</t>
  </si>
  <si>
    <t>-3 to -1</t>
  </si>
  <si>
    <t>-1 to 1</t>
  </si>
  <si>
    <t>OEL=</t>
  </si>
  <si>
    <t>1 to 2.5</t>
  </si>
  <si>
    <t>mean ln(x)=</t>
  </si>
  <si>
    <t>is GM</t>
  </si>
  <si>
    <t>sd ln(x)=</t>
  </si>
  <si>
    <t>is GSD</t>
  </si>
  <si>
    <t>z=</t>
  </si>
  <si>
    <t xml:space="preserve">%&gt;OEL = </t>
  </si>
  <si>
    <t>n&lt;10</t>
  </si>
  <si>
    <t>n&gt;9</t>
  </si>
  <si>
    <t>90%LCL=</t>
  </si>
  <si>
    <t>90%UCL=</t>
  </si>
  <si>
    <t>Seems to be working</t>
  </si>
  <si>
    <t>z</t>
  </si>
  <si>
    <t>"-1 to 1</t>
  </si>
  <si>
    <t>"-3 to -1</t>
  </si>
  <si>
    <t>"-6 to -3</t>
  </si>
  <si>
    <t>lookup</t>
  </si>
  <si>
    <t>W Test Table</t>
  </si>
  <si>
    <t>W Percentage Table</t>
  </si>
  <si>
    <t>W alpha</t>
  </si>
  <si>
    <t>W Test Calculated</t>
  </si>
  <si>
    <t>d=</t>
  </si>
  <si>
    <t>k=</t>
  </si>
  <si>
    <t>Acecpt Normal or Lognormal?</t>
  </si>
  <si>
    <t>w=</t>
  </si>
  <si>
    <t>W (LN DATA)=</t>
  </si>
  <si>
    <t>ai</t>
  </si>
  <si>
    <t>xn-i+1</t>
  </si>
  <si>
    <t>xi</t>
  </si>
  <si>
    <t>ai(xn-i+1-xi)</t>
  </si>
  <si>
    <t>LN(xn-i+1)</t>
  </si>
  <si>
    <t>LN(xi)</t>
  </si>
  <si>
    <t>ai(LNxn-i+1-LN(xi)</t>
  </si>
  <si>
    <t>SUM =</t>
  </si>
  <si>
    <t>SUM=</t>
  </si>
  <si>
    <t>Desvio Padrão Geométrico:</t>
  </si>
  <si>
    <t>NRRsf</t>
  </si>
  <si>
    <t>Dose (%)</t>
  </si>
  <si>
    <t>Avaliado</t>
  </si>
  <si>
    <t>Projetado</t>
  </si>
  <si>
    <t>% da JT</t>
  </si>
  <si>
    <t>#</t>
  </si>
  <si>
    <t>Comentários</t>
  </si>
  <si>
    <t>T. Monit. (h:mm)</t>
  </si>
  <si>
    <t>Registro gráfico da distribuição e medidas estatísticas (considerando LT - NR-15):</t>
  </si>
  <si>
    <t>Nome</t>
  </si>
  <si>
    <t>CAS</t>
  </si>
  <si>
    <t>[logomarca da empresa]</t>
  </si>
  <si>
    <t>NA (unidade)</t>
  </si>
  <si>
    <r>
      <t>S</t>
    </r>
    <r>
      <rPr>
        <b/>
        <sz val="8"/>
        <rFont val="Arial"/>
        <family val="2"/>
      </rPr>
      <t xml:space="preserve"> Dose</t>
    </r>
  </si>
  <si>
    <t>P95%</t>
  </si>
  <si>
    <t>NEN 
dB(A)</t>
  </si>
  <si>
    <t>Mat. Emp. Avaliado</t>
  </si>
  <si>
    <t>T. Exp. Total (hh:mm)</t>
  </si>
  <si>
    <t>Conc. MG
(mg/m³)</t>
  </si>
  <si>
    <t>LT NR 15
(mg/m³)</t>
  </si>
  <si>
    <t>LT ACGIH 
(mg/m³)</t>
  </si>
  <si>
    <t>Nº CAS</t>
  </si>
  <si>
    <t>Conc. MG (unidade)</t>
  </si>
  <si>
    <t>Setor:</t>
  </si>
  <si>
    <t xml:space="preserve">Relatório de Avaliações Ambientais                                                </t>
  </si>
  <si>
    <t>Pág: 1 de 1</t>
  </si>
  <si>
    <t xml:space="preserve">Relatório de Avaliações Ambientais                                               </t>
  </si>
  <si>
    <t xml:space="preserve">Relatório de Avaliações Ambientais                                             </t>
  </si>
  <si>
    <r>
      <t xml:space="preserve">Relatório de Avaliações Ambientais                                                 </t>
    </r>
    <r>
      <rPr>
        <b/>
        <sz val="8"/>
        <rFont val="Arial"/>
        <family val="2"/>
      </rPr>
      <t xml:space="preserve"> </t>
    </r>
    <r>
      <rPr>
        <b/>
        <sz val="11"/>
        <rFont val="Arial"/>
        <family val="2"/>
      </rPr>
      <t xml:space="preserve"> </t>
    </r>
  </si>
  <si>
    <t xml:space="preserve">Relatório de Avaliações Ambientais                                </t>
  </si>
  <si>
    <t>GHE:</t>
  </si>
  <si>
    <t xml:space="preserve">Gerência: </t>
  </si>
  <si>
    <t>Descrição Sumária do GHE:</t>
  </si>
  <si>
    <t>LT
dB(A)</t>
  </si>
  <si>
    <t xml:space="preserve">P 95% 
dB(A) </t>
  </si>
  <si>
    <t>Descrição do EPI</t>
  </si>
  <si>
    <t>Outras Medidas de Controle Existentes:</t>
  </si>
  <si>
    <t>Medida de Controle Individual:</t>
  </si>
  <si>
    <t>Fator de Proteção Atribuído</t>
  </si>
  <si>
    <t>Agente Químico</t>
  </si>
  <si>
    <t>LT
(m/s²)</t>
  </si>
  <si>
    <t>NA
(m/s²)</t>
  </si>
  <si>
    <t>VIBRAÇÃO DE CORPO INTEIRO (VCI)</t>
  </si>
  <si>
    <t>Equipamento Avaliado / 
Condição de Operação</t>
  </si>
  <si>
    <t>AREN 
(m/s²)</t>
  </si>
  <si>
    <t xml:space="preserve">VIBRAÇÃO DE MÃOS E BRAÇOS </t>
  </si>
  <si>
    <t xml:space="preserve">GHE: </t>
  </si>
  <si>
    <t>NEN dB(A) 
(q=3)</t>
  </si>
  <si>
    <t>NEN dB(A)
(q=5)</t>
  </si>
  <si>
    <t>Média Geométrica</t>
  </si>
  <si>
    <t>Incremento de Duplicação da Dose (Q5)</t>
  </si>
  <si>
    <t>Incremento de Duplicação da Dose (Q3)</t>
  </si>
  <si>
    <t>NEN    dB(A)</t>
  </si>
  <si>
    <t xml:space="preserve">Legenda:  Lavg – Nível Médio de Ruído   NEN – Nível de Exposição Normalizado  MG – Média Geométrica    P 95% - Percentil 95   DPG – Desvio Padrão  Geométrico     Q – Incremento de Duplicação de Dose    LT - Limite de Tolerância    </t>
  </si>
  <si>
    <t>Q = 5</t>
  </si>
  <si>
    <t>Q = 3</t>
  </si>
  <si>
    <t>Parecer Técnico de Insalubridade:</t>
  </si>
  <si>
    <t>Parecer Técnico de Aposentadoria Especial:</t>
  </si>
  <si>
    <t xml:space="preserve">Metodologia da NHO- 01 e NR-15  </t>
  </si>
  <si>
    <t>Tipo de Ambiente</t>
  </si>
  <si>
    <t>Taxa Metabólica
(W)</t>
  </si>
  <si>
    <t>IBUTG Médio Ponderado 
(ºC)</t>
  </si>
  <si>
    <t>N° de avaliações</t>
  </si>
  <si>
    <t>Temperatura ºC</t>
  </si>
  <si>
    <r>
      <t xml:space="preserve">Legenda:  </t>
    </r>
    <r>
      <rPr>
        <b/>
        <sz val="7"/>
        <rFont val="Arial"/>
        <family val="2"/>
      </rPr>
      <t>IBUTG</t>
    </r>
    <r>
      <rPr>
        <sz val="7"/>
        <rFont val="Arial"/>
        <family val="2"/>
      </rPr>
      <t xml:space="preserve"> – Índice de Bulbo Úmido Termômetro de Globo    </t>
    </r>
    <r>
      <rPr>
        <b/>
        <sz val="7"/>
        <rFont val="Arial"/>
        <family val="2"/>
      </rPr>
      <t>T. Exp.</t>
    </r>
    <r>
      <rPr>
        <sz val="7"/>
        <rFont val="Arial"/>
        <family val="2"/>
      </rPr>
      <t xml:space="preserve"> – Tempo de Exposição   </t>
    </r>
    <r>
      <rPr>
        <b/>
        <sz val="7"/>
        <rFont val="Arial"/>
        <family val="2"/>
      </rPr>
      <t>Tbn</t>
    </r>
    <r>
      <rPr>
        <sz val="7"/>
        <rFont val="Arial"/>
        <family val="2"/>
      </rPr>
      <t xml:space="preserve"> = temperatura de bulbo úmido natural    </t>
    </r>
    <r>
      <rPr>
        <b/>
        <sz val="7"/>
        <rFont val="Arial"/>
        <family val="2"/>
      </rPr>
      <t>Tg</t>
    </r>
    <r>
      <rPr>
        <sz val="7"/>
        <rFont val="Arial"/>
        <family val="2"/>
      </rPr>
      <t xml:space="preserve"> = temperatura de globo  </t>
    </r>
    <r>
      <rPr>
        <b/>
        <sz val="7"/>
        <rFont val="Arial"/>
        <family val="2"/>
      </rPr>
      <t>Tbs</t>
    </r>
    <r>
      <rPr>
        <sz val="7"/>
        <rFont val="Arial"/>
        <family val="2"/>
      </rPr>
      <t xml:space="preserve"> = temperatura de bulbo seco (temperatura do ar) </t>
    </r>
    <r>
      <rPr>
        <b/>
        <sz val="7"/>
        <rFont val="Arial"/>
        <family val="2"/>
      </rPr>
      <t>W</t>
    </r>
    <r>
      <rPr>
        <sz val="7"/>
        <rFont val="Arial"/>
        <family val="2"/>
      </rPr>
      <t xml:space="preserve"> = Watss</t>
    </r>
  </si>
  <si>
    <t>Valor Teto
(ºC)</t>
  </si>
  <si>
    <t>Limite de Tolerância
(ºC)</t>
  </si>
  <si>
    <t>Nível de Ação
(ºC)</t>
  </si>
  <si>
    <t>Taxa Metabólica
 Média Ponderada 
(W)</t>
  </si>
  <si>
    <t>Horário da Medição</t>
  </si>
  <si>
    <t xml:space="preserve">Descrição da atividade </t>
  </si>
  <si>
    <t>Atividade (Descanso ou Trabalho)</t>
  </si>
  <si>
    <t>Local (Descanso ou Trabalho)</t>
  </si>
  <si>
    <r>
      <t xml:space="preserve">Legenda: </t>
    </r>
    <r>
      <rPr>
        <b/>
        <sz val="7"/>
        <rFont val="Arial"/>
        <family val="2"/>
      </rPr>
      <t>T. Exp</t>
    </r>
    <r>
      <rPr>
        <sz val="7"/>
        <rFont val="Arial"/>
        <family val="2"/>
      </rPr>
      <t xml:space="preserve">. – Tempo de Exposição;   </t>
    </r>
    <r>
      <rPr>
        <b/>
        <sz val="7"/>
        <rFont val="Arial"/>
        <family val="2"/>
      </rPr>
      <t>DPG</t>
    </r>
    <r>
      <rPr>
        <sz val="7"/>
        <rFont val="Arial"/>
        <family val="2"/>
      </rPr>
      <t xml:space="preserve"> – Desvio  Padrão Geométrico   </t>
    </r>
    <r>
      <rPr>
        <b/>
        <sz val="7"/>
        <rFont val="Arial"/>
        <family val="2"/>
      </rPr>
      <t>LT</t>
    </r>
    <r>
      <rPr>
        <sz val="7"/>
        <rFont val="Arial"/>
        <family val="2"/>
      </rPr>
      <t xml:space="preserve"> - Limite de Tolerância   </t>
    </r>
    <r>
      <rPr>
        <b/>
        <sz val="7"/>
        <rFont val="Arial"/>
        <family val="2"/>
      </rPr>
      <t>NA</t>
    </r>
    <r>
      <rPr>
        <sz val="7"/>
        <rFont val="Arial"/>
        <family val="2"/>
      </rPr>
      <t xml:space="preserve"> - Nível de ação  </t>
    </r>
    <r>
      <rPr>
        <b/>
        <sz val="7"/>
        <rFont val="Arial"/>
        <family val="2"/>
      </rPr>
      <t>VDVR</t>
    </r>
    <r>
      <rPr>
        <sz val="7"/>
        <rFont val="Arial"/>
        <family val="2"/>
      </rPr>
      <t xml:space="preserve"> - Valor da Dose de Vibração Resultante - </t>
    </r>
    <r>
      <rPr>
        <b/>
        <sz val="7"/>
        <rFont val="Arial"/>
        <family val="2"/>
      </rPr>
      <t>AREN</t>
    </r>
    <r>
      <rPr>
        <sz val="7"/>
        <rFont val="Arial"/>
        <family val="2"/>
      </rPr>
      <t xml:space="preserve"> - aceleração resultante de exposição normalizada; </t>
    </r>
  </si>
  <si>
    <r>
      <t xml:space="preserve">amx 
</t>
    </r>
    <r>
      <rPr>
        <b/>
        <sz val="7"/>
        <rFont val="Arial"/>
        <family val="2"/>
      </rPr>
      <t>(m/s²)</t>
    </r>
  </si>
  <si>
    <r>
      <t xml:space="preserve">amy 
</t>
    </r>
    <r>
      <rPr>
        <b/>
        <sz val="7"/>
        <rFont val="Arial"/>
        <family val="2"/>
      </rPr>
      <t>(m/s²)</t>
    </r>
  </si>
  <si>
    <r>
      <t xml:space="preserve">amz 
</t>
    </r>
    <r>
      <rPr>
        <b/>
        <sz val="7"/>
        <rFont val="Arial"/>
        <family val="2"/>
      </rPr>
      <t>(m/s²)</t>
    </r>
  </si>
  <si>
    <r>
      <t xml:space="preserve">arepi 
</t>
    </r>
    <r>
      <rPr>
        <b/>
        <sz val="7"/>
        <rFont val="Arial"/>
        <family val="2"/>
      </rPr>
      <t>(m/s²)</t>
    </r>
  </si>
  <si>
    <r>
      <t xml:space="preserve">are 
</t>
    </r>
    <r>
      <rPr>
        <b/>
        <sz val="7"/>
        <rFont val="Arial"/>
        <family val="2"/>
      </rPr>
      <t>(m/s²)</t>
    </r>
  </si>
  <si>
    <r>
      <t xml:space="preserve">Legenda:  </t>
    </r>
    <r>
      <rPr>
        <b/>
        <sz val="7"/>
        <rFont val="Arial"/>
        <family val="2"/>
      </rPr>
      <t>amx</t>
    </r>
    <r>
      <rPr>
        <sz val="7"/>
        <rFont val="Arial"/>
        <family val="2"/>
      </rPr>
      <t xml:space="preserve">: Aceleração média no eixo x -  </t>
    </r>
    <r>
      <rPr>
        <b/>
        <sz val="7"/>
        <rFont val="Arial"/>
        <family val="2"/>
      </rPr>
      <t>amy</t>
    </r>
    <r>
      <rPr>
        <sz val="7"/>
        <rFont val="Arial"/>
        <family val="2"/>
      </rPr>
      <t xml:space="preserve">: Aceleração média no eixo y -   </t>
    </r>
    <r>
      <rPr>
        <b/>
        <sz val="7"/>
        <rFont val="Arial"/>
        <family val="2"/>
      </rPr>
      <t>amz</t>
    </r>
    <r>
      <rPr>
        <sz val="7"/>
        <rFont val="Arial"/>
        <family val="2"/>
      </rPr>
      <t xml:space="preserve">: Aceleração média no eixo z - </t>
    </r>
    <r>
      <rPr>
        <b/>
        <sz val="7"/>
        <rFont val="Arial"/>
        <family val="2"/>
      </rPr>
      <t xml:space="preserve">amr: </t>
    </r>
    <r>
      <rPr>
        <sz val="7"/>
        <rFont val="Arial"/>
        <family val="2"/>
      </rPr>
      <t xml:space="preserve">Aceleração média resultante </t>
    </r>
    <r>
      <rPr>
        <b/>
        <sz val="7"/>
        <rFont val="Arial"/>
        <family val="2"/>
      </rPr>
      <t>arepi</t>
    </r>
    <r>
      <rPr>
        <sz val="7"/>
        <rFont val="Arial"/>
        <family val="2"/>
      </rPr>
      <t xml:space="preserve">: aceleração resultante de exposição parcial  </t>
    </r>
    <r>
      <rPr>
        <b/>
        <sz val="7"/>
        <rFont val="Arial"/>
        <family val="2"/>
      </rPr>
      <t>are:</t>
    </r>
    <r>
      <rPr>
        <sz val="7"/>
        <rFont val="Arial"/>
        <family val="2"/>
      </rPr>
      <t xml:space="preserve"> aceleração resultante de exposição </t>
    </r>
    <r>
      <rPr>
        <b/>
        <sz val="7"/>
        <rFont val="Arial"/>
        <family val="2"/>
      </rPr>
      <t>VDVR</t>
    </r>
    <r>
      <rPr>
        <sz val="7"/>
        <rFont val="Arial"/>
        <family val="2"/>
      </rPr>
      <t xml:space="preserve"> - Valor da Dose de Vibração Resultante - </t>
    </r>
    <r>
      <rPr>
        <b/>
        <sz val="7"/>
        <rFont val="Arial"/>
        <family val="2"/>
      </rPr>
      <t>AREN</t>
    </r>
    <r>
      <rPr>
        <sz val="7"/>
        <rFont val="Arial"/>
        <family val="2"/>
      </rPr>
      <t xml:space="preserve"> - aceleração resultante de exposição normalizada; </t>
    </r>
    <r>
      <rPr>
        <b/>
        <sz val="7"/>
        <rFont val="Arial"/>
        <family val="2"/>
      </rPr>
      <t>VDVexp(x):</t>
    </r>
    <r>
      <rPr>
        <sz val="7"/>
        <rFont val="Arial"/>
        <family val="2"/>
      </rPr>
      <t xml:space="preserve"> valor da dose de vibração da exposição no eixo x, </t>
    </r>
    <r>
      <rPr>
        <b/>
        <sz val="7"/>
        <rFont val="Arial"/>
        <family val="2"/>
      </rPr>
      <t>VDVexp(y)</t>
    </r>
    <r>
      <rPr>
        <sz val="7"/>
        <rFont val="Arial"/>
        <family val="2"/>
      </rPr>
      <t xml:space="preserve">: valor da dose de vibração da exposição no eixo y </t>
    </r>
    <r>
      <rPr>
        <b/>
        <sz val="7"/>
        <rFont val="Arial"/>
        <family val="2"/>
      </rPr>
      <t>VDVexp(z):</t>
    </r>
    <r>
      <rPr>
        <sz val="7"/>
        <rFont val="Arial"/>
        <family val="2"/>
      </rPr>
      <t xml:space="preserve"> valor da dose de vibração da exposição no eixo y</t>
    </r>
  </si>
  <si>
    <r>
      <t xml:space="preserve">Descrição e Resultado da Avaliação Preliminar da Exposição (realizada de acordo com o item 3 do Anexo 1 da NR-9 do </t>
    </r>
    <r>
      <rPr>
        <b/>
        <sz val="9"/>
        <rFont val="Arial"/>
        <family val="2"/>
      </rPr>
      <t>MTE</t>
    </r>
    <r>
      <rPr>
        <b/>
        <sz val="10"/>
        <rFont val="Arial"/>
        <family val="2"/>
      </rPr>
      <t>):</t>
    </r>
  </si>
  <si>
    <r>
      <t xml:space="preserve">aren 
</t>
    </r>
    <r>
      <rPr>
        <b/>
        <sz val="7"/>
        <rFont val="Arial"/>
        <family val="2"/>
      </rPr>
      <t>(m/s²)</t>
    </r>
  </si>
  <si>
    <r>
      <t xml:space="preserve">Legenda:  </t>
    </r>
    <r>
      <rPr>
        <b/>
        <sz val="7"/>
        <rFont val="Arial"/>
        <family val="2"/>
      </rPr>
      <t>amx</t>
    </r>
    <r>
      <rPr>
        <sz val="7"/>
        <rFont val="Arial"/>
        <family val="2"/>
      </rPr>
      <t xml:space="preserve">: Aceleração média no eixo x -  </t>
    </r>
    <r>
      <rPr>
        <b/>
        <sz val="7"/>
        <rFont val="Arial"/>
        <family val="2"/>
      </rPr>
      <t>amy</t>
    </r>
    <r>
      <rPr>
        <sz val="7"/>
        <rFont val="Arial"/>
        <family val="2"/>
      </rPr>
      <t xml:space="preserve">: Aceleração média no eixo y -   </t>
    </r>
    <r>
      <rPr>
        <b/>
        <sz val="7"/>
        <rFont val="Arial"/>
        <family val="2"/>
      </rPr>
      <t>amz</t>
    </r>
    <r>
      <rPr>
        <sz val="7"/>
        <rFont val="Arial"/>
        <family val="2"/>
      </rPr>
      <t xml:space="preserve">: Aceleração média no eixo z - </t>
    </r>
    <r>
      <rPr>
        <b/>
        <sz val="7"/>
        <rFont val="Arial"/>
        <family val="2"/>
      </rPr>
      <t>amr</t>
    </r>
    <r>
      <rPr>
        <sz val="7"/>
        <rFont val="Arial"/>
        <family val="2"/>
      </rPr>
      <t xml:space="preserve">: Aceleração média resultante </t>
    </r>
    <r>
      <rPr>
        <b/>
        <sz val="7"/>
        <rFont val="Arial"/>
        <family val="2"/>
      </rPr>
      <t>arepi</t>
    </r>
    <r>
      <rPr>
        <sz val="7"/>
        <rFont val="Arial"/>
        <family val="2"/>
      </rPr>
      <t xml:space="preserve">: aceleração resultante de exposição parcial  are: aceleração resultante de exposição - </t>
    </r>
    <r>
      <rPr>
        <b/>
        <sz val="7"/>
        <rFont val="Arial"/>
        <family val="2"/>
      </rPr>
      <t>aren</t>
    </r>
    <r>
      <rPr>
        <sz val="7"/>
        <rFont val="Arial"/>
        <family val="2"/>
      </rPr>
      <t xml:space="preserve"> - aceleração resultante de exposição normalizada;  </t>
    </r>
    <r>
      <rPr>
        <b/>
        <sz val="7"/>
        <rFont val="Arial"/>
        <family val="2"/>
      </rPr>
      <t>are</t>
    </r>
    <r>
      <rPr>
        <sz val="7"/>
        <rFont val="Arial"/>
        <family val="2"/>
      </rPr>
      <t>: aceleração resultante de exposição</t>
    </r>
  </si>
  <si>
    <r>
      <t>Legenda:</t>
    </r>
    <r>
      <rPr>
        <b/>
        <sz val="7"/>
        <rFont val="Arial"/>
        <family val="2"/>
      </rPr>
      <t xml:space="preserve"> T. Exp</t>
    </r>
    <r>
      <rPr>
        <sz val="7"/>
        <rFont val="Arial"/>
        <family val="2"/>
      </rPr>
      <t xml:space="preserve">. – Tempo de Exposição;   </t>
    </r>
    <r>
      <rPr>
        <b/>
        <sz val="7"/>
        <rFont val="Arial"/>
        <family val="2"/>
      </rPr>
      <t>DPG</t>
    </r>
    <r>
      <rPr>
        <sz val="7"/>
        <rFont val="Arial"/>
        <family val="2"/>
      </rPr>
      <t xml:space="preserve"> – Desvio  Padrão Geométrico   </t>
    </r>
    <r>
      <rPr>
        <b/>
        <sz val="7"/>
        <rFont val="Arial"/>
        <family val="2"/>
      </rPr>
      <t>LT</t>
    </r>
    <r>
      <rPr>
        <sz val="7"/>
        <rFont val="Arial"/>
        <family val="2"/>
      </rPr>
      <t xml:space="preserve"> - Limite de Tolerância   NA - Nível de ação   </t>
    </r>
    <r>
      <rPr>
        <b/>
        <sz val="7"/>
        <rFont val="Arial"/>
        <family val="2"/>
      </rPr>
      <t>AREN</t>
    </r>
    <r>
      <rPr>
        <sz val="7"/>
        <rFont val="Arial"/>
        <family val="2"/>
      </rPr>
      <t xml:space="preserve"> - aceleração resultante de exposição normalizada </t>
    </r>
  </si>
  <si>
    <t>Tempo Monitorado (h:mm)</t>
  </si>
  <si>
    <t xml:space="preserve">CRITÉRIO NR-15 / NHO 08 </t>
  </si>
  <si>
    <t>Peso da amostra 
 (mg)</t>
  </si>
  <si>
    <t>Vazão 
(l/min)</t>
  </si>
  <si>
    <t>código da 
amostra</t>
  </si>
  <si>
    <t>LT NR15 
(mg/m³)</t>
  </si>
  <si>
    <t>Concentração 
(mg/m³)</t>
  </si>
  <si>
    <t>Concentração MG
(mg/m³)</t>
  </si>
  <si>
    <r>
      <t xml:space="preserve">Legenda: </t>
    </r>
    <r>
      <rPr>
        <b/>
        <sz val="7"/>
        <rFont val="Arial"/>
        <family val="2"/>
      </rPr>
      <t>Conc</t>
    </r>
    <r>
      <rPr>
        <sz val="7"/>
        <rFont val="Arial"/>
        <family val="2"/>
      </rPr>
      <t xml:space="preserve">. – Concentração     </t>
    </r>
    <r>
      <rPr>
        <b/>
        <sz val="7"/>
        <rFont val="Arial"/>
        <family val="2"/>
      </rPr>
      <t>MG</t>
    </r>
    <r>
      <rPr>
        <sz val="7"/>
        <rFont val="Arial"/>
        <family val="2"/>
      </rPr>
      <t xml:space="preserve"> – Média Geométrica    </t>
    </r>
    <r>
      <rPr>
        <b/>
        <sz val="7"/>
        <rFont val="Arial"/>
        <family val="2"/>
      </rPr>
      <t>DPG</t>
    </r>
    <r>
      <rPr>
        <sz val="7"/>
        <rFont val="Arial"/>
        <family val="2"/>
      </rPr>
      <t xml:space="preserve"> – Desvio Padrão Geométrico  </t>
    </r>
    <r>
      <rPr>
        <b/>
        <sz val="7"/>
        <rFont val="Arial"/>
        <family val="2"/>
      </rPr>
      <t xml:space="preserve"> P 95%</t>
    </r>
    <r>
      <rPr>
        <sz val="7"/>
        <rFont val="Arial"/>
        <family val="2"/>
      </rPr>
      <t xml:space="preserve"> - Percentil 95   </t>
    </r>
    <r>
      <rPr>
        <b/>
        <sz val="7"/>
        <rFont val="Arial"/>
        <family val="2"/>
      </rPr>
      <t>ND</t>
    </r>
    <r>
      <rPr>
        <sz val="7"/>
        <rFont val="Arial"/>
        <family val="2"/>
      </rPr>
      <t xml:space="preserve"> - Não Detectado    </t>
    </r>
    <r>
      <rPr>
        <b/>
        <sz val="7"/>
        <rFont val="Arial"/>
        <family val="2"/>
      </rPr>
      <t>LT</t>
    </r>
    <r>
      <rPr>
        <sz val="7"/>
        <rFont val="Arial"/>
        <family val="2"/>
      </rPr>
      <t xml:space="preserve"> - Limite de Tolerância  </t>
    </r>
    <r>
      <rPr>
        <b/>
        <sz val="7"/>
        <rFont val="Arial"/>
        <family val="2"/>
      </rPr>
      <t>NR</t>
    </r>
    <r>
      <rPr>
        <sz val="7"/>
        <rFont val="Arial"/>
        <family val="2"/>
      </rPr>
      <t xml:space="preserve"> - Norma Regulamentadora</t>
    </r>
  </si>
  <si>
    <t>Resultados de Poeira Total</t>
  </si>
  <si>
    <t>Resultados de Poeira Respirável</t>
  </si>
  <si>
    <t xml:space="preserve"> GHE: </t>
  </si>
  <si>
    <t>LSC%</t>
  </si>
  <si>
    <r>
      <t xml:space="preserve">Legenda: </t>
    </r>
    <r>
      <rPr>
        <b/>
        <sz val="7"/>
        <rFont val="Arial"/>
        <family val="2"/>
      </rPr>
      <t>Conc</t>
    </r>
    <r>
      <rPr>
        <sz val="7"/>
        <rFont val="Arial"/>
        <family val="2"/>
      </rPr>
      <t xml:space="preserve">. – Concentração     </t>
    </r>
    <r>
      <rPr>
        <b/>
        <sz val="7"/>
        <rFont val="Arial"/>
        <family val="2"/>
      </rPr>
      <t>MG</t>
    </r>
    <r>
      <rPr>
        <sz val="7"/>
        <rFont val="Arial"/>
        <family val="2"/>
      </rPr>
      <t xml:space="preserve"> – Média Geométrica    </t>
    </r>
    <r>
      <rPr>
        <b/>
        <sz val="7"/>
        <rFont val="Arial"/>
        <family val="2"/>
      </rPr>
      <t>DPG</t>
    </r>
    <r>
      <rPr>
        <sz val="7"/>
        <rFont val="Arial"/>
        <family val="2"/>
      </rPr>
      <t xml:space="preserve"> – Desvio Padrão Geométrico  </t>
    </r>
    <r>
      <rPr>
        <b/>
        <sz val="7"/>
        <rFont val="Arial"/>
        <family val="2"/>
      </rPr>
      <t xml:space="preserve"> P 95%</t>
    </r>
    <r>
      <rPr>
        <sz val="7"/>
        <rFont val="Arial"/>
        <family val="2"/>
      </rPr>
      <t xml:space="preserve"> - Percentil 95   </t>
    </r>
    <r>
      <rPr>
        <b/>
        <sz val="7"/>
        <rFont val="Arial"/>
        <family val="2"/>
      </rPr>
      <t>ND</t>
    </r>
    <r>
      <rPr>
        <sz val="7"/>
        <rFont val="Arial"/>
        <family val="2"/>
      </rPr>
      <t xml:space="preserve"> - Não Detectado    * </t>
    </r>
    <r>
      <rPr>
        <b/>
        <sz val="7"/>
        <rFont val="Arial"/>
        <family val="2"/>
      </rPr>
      <t>LSC</t>
    </r>
    <r>
      <rPr>
        <sz val="7"/>
        <rFont val="Arial"/>
        <family val="2"/>
      </rPr>
      <t xml:space="preserve"> = Limite superior do intervalo de confiança da média aritmética estimada para uma distribuição lognormal com confiança estatística de 95%.</t>
    </r>
  </si>
  <si>
    <t>{[CITAR O AGENTE QUÍMICO OU VARREDURA DE METAIS]}</t>
  </si>
  <si>
    <t>Código da Amostra</t>
  </si>
  <si>
    <t>Tempo  Medição (h:mm)</t>
  </si>
  <si>
    <t xml:space="preserve">CRITÉRIO NR-15 e/ou ACGIH  </t>
  </si>
  <si>
    <t>LT/LEO (unidade)</t>
  </si>
  <si>
    <r>
      <t xml:space="preserve">Concentração 
</t>
    </r>
    <r>
      <rPr>
        <sz val="8"/>
        <rFont val="Arial"/>
        <family val="2"/>
      </rPr>
      <t>(unidade de medida)</t>
    </r>
  </si>
  <si>
    <r>
      <t xml:space="preserve">Peso da amostra </t>
    </r>
    <r>
      <rPr>
        <sz val="8"/>
        <rFont val="Arial"/>
        <family val="2"/>
      </rPr>
      <t>(unidade de medida)</t>
    </r>
  </si>
  <si>
    <r>
      <t xml:space="preserve">Vazão </t>
    </r>
    <r>
      <rPr>
        <sz val="8"/>
        <rFont val="Arial"/>
        <family val="2"/>
      </rPr>
      <t>(unidade de medida)</t>
    </r>
  </si>
  <si>
    <r>
      <t xml:space="preserve">LT/LEO </t>
    </r>
    <r>
      <rPr>
        <sz val="8"/>
        <rFont val="Arial"/>
        <family val="2"/>
      </rPr>
      <t>(unidade de medida)</t>
    </r>
  </si>
  <si>
    <r>
      <t xml:space="preserve">Legenda:  </t>
    </r>
    <r>
      <rPr>
        <b/>
        <sz val="7"/>
        <rFont val="Arial"/>
        <family val="2"/>
      </rPr>
      <t>Conc</t>
    </r>
    <r>
      <rPr>
        <sz val="7"/>
        <rFont val="Arial"/>
        <family val="2"/>
      </rPr>
      <t xml:space="preserve">. – Concentração    </t>
    </r>
    <r>
      <rPr>
        <b/>
        <sz val="7"/>
        <rFont val="Arial"/>
        <family val="2"/>
      </rPr>
      <t>MG</t>
    </r>
    <r>
      <rPr>
        <sz val="7"/>
        <rFont val="Arial"/>
        <family val="2"/>
      </rPr>
      <t xml:space="preserve"> – Média Geométrica     </t>
    </r>
    <r>
      <rPr>
        <b/>
        <sz val="7"/>
        <rFont val="Arial"/>
        <family val="2"/>
      </rPr>
      <t>DPG</t>
    </r>
    <r>
      <rPr>
        <sz val="7"/>
        <rFont val="Arial"/>
        <family val="2"/>
      </rPr>
      <t xml:space="preserve"> – Desvio Padrão Geométrico     </t>
    </r>
    <r>
      <rPr>
        <b/>
        <sz val="7"/>
        <rFont val="Arial"/>
        <family val="2"/>
      </rPr>
      <t>P 95%</t>
    </r>
    <r>
      <rPr>
        <sz val="7"/>
        <rFont val="Arial"/>
        <family val="2"/>
      </rPr>
      <t xml:space="preserve"> - Percentil 95   </t>
    </r>
    <r>
      <rPr>
        <b/>
        <sz val="7"/>
        <rFont val="Arial"/>
        <family val="2"/>
      </rPr>
      <t xml:space="preserve"> LT/LEO </t>
    </r>
    <r>
      <rPr>
        <sz val="7"/>
        <rFont val="Arial"/>
        <family val="2"/>
      </rPr>
      <t>- Limite de Tolerância/Limite de Exposição Ocupacional</t>
    </r>
  </si>
  <si>
    <r>
      <t xml:space="preserve">Legenda: </t>
    </r>
    <r>
      <rPr>
        <b/>
        <sz val="7"/>
        <rFont val="Arial"/>
        <family val="2"/>
      </rPr>
      <t>LT/LEO</t>
    </r>
    <r>
      <rPr>
        <sz val="7"/>
        <rFont val="Arial"/>
        <family val="2"/>
      </rPr>
      <t xml:space="preserve"> - Limite de Tolerância/Limite de Exposição Ocupacional   </t>
    </r>
    <r>
      <rPr>
        <b/>
        <sz val="7"/>
        <rFont val="Arial"/>
        <family val="2"/>
      </rPr>
      <t>NA</t>
    </r>
    <r>
      <rPr>
        <sz val="7"/>
        <rFont val="Arial"/>
        <family val="2"/>
      </rPr>
      <t xml:space="preserve"> - Nível de Ação    </t>
    </r>
  </si>
  <si>
    <t xml:space="preserve">Efeito Combinado </t>
  </si>
  <si>
    <t>Dispositivo de coleta</t>
  </si>
  <si>
    <t>dispositivo de coleta</t>
  </si>
  <si>
    <r>
      <t xml:space="preserve">Relatório de Avaliações Ambientais 
</t>
    </r>
    <r>
      <rPr>
        <b/>
        <sz val="8"/>
        <rFont val="Arial"/>
        <family val="2"/>
      </rPr>
      <t xml:space="preserve">Laudo Técnico em Higiene Ocupacional </t>
    </r>
    <r>
      <rPr>
        <b/>
        <sz val="10"/>
        <rFont val="Arial"/>
        <family val="2"/>
      </rPr>
      <t xml:space="preserve"> </t>
    </r>
  </si>
  <si>
    <t>Empregado avaliado</t>
  </si>
  <si>
    <t>Conc. (mg/m3)</t>
  </si>
  <si>
    <t>ÁREA:</t>
  </si>
  <si>
    <t>LOCAL:</t>
  </si>
  <si>
    <t>FORMA DE EXPOSIÇÃO</t>
  </si>
  <si>
    <t>TEMPO DE EXPOSIÇÃO</t>
  </si>
  <si>
    <t>(      ) – Eventual</t>
  </si>
  <si>
    <t>(      ) – Respiratória</t>
  </si>
  <si>
    <t>(      ) – Não há exposição</t>
  </si>
  <si>
    <t>(      ) – Habitual Permanente</t>
  </si>
  <si>
    <t>(      ) – Não Há Exposição</t>
  </si>
  <si>
    <t>ENTREVISTADO</t>
  </si>
  <si>
    <t>Agente Ambiental:</t>
  </si>
  <si>
    <t>(      ) – Contato Pele</t>
  </si>
  <si>
    <t>(      ) – Habitual Intermitente</t>
  </si>
  <si>
    <t xml:space="preserve">FONTE GERADORA: </t>
  </si>
  <si>
    <t xml:space="preserve">ATIVIDADE DESEMPENHADA:
</t>
  </si>
  <si>
    <t>Fonte Geradora</t>
  </si>
  <si>
    <r>
      <t xml:space="preserve">amx 
</t>
    </r>
    <r>
      <rPr>
        <b/>
        <sz val="7"/>
        <color indexed="8"/>
        <rFont val="Arial"/>
        <family val="2"/>
      </rPr>
      <t>(m/s²)</t>
    </r>
  </si>
  <si>
    <r>
      <t xml:space="preserve">amy 
</t>
    </r>
    <r>
      <rPr>
        <b/>
        <sz val="7"/>
        <color indexed="8"/>
        <rFont val="Arial"/>
        <family val="2"/>
      </rPr>
      <t>(m/s²)</t>
    </r>
  </si>
  <si>
    <r>
      <t xml:space="preserve">amz 
</t>
    </r>
    <r>
      <rPr>
        <b/>
        <sz val="7"/>
        <color indexed="8"/>
        <rFont val="Arial"/>
        <family val="2"/>
      </rPr>
      <t>(m/s²)</t>
    </r>
  </si>
  <si>
    <r>
      <t xml:space="preserve">arepi 
</t>
    </r>
    <r>
      <rPr>
        <b/>
        <sz val="7"/>
        <color indexed="8"/>
        <rFont val="Arial"/>
        <family val="2"/>
      </rPr>
      <t>(m/s²)</t>
    </r>
  </si>
  <si>
    <r>
      <t xml:space="preserve">are 
</t>
    </r>
    <r>
      <rPr>
        <b/>
        <sz val="7"/>
        <color indexed="8"/>
        <rFont val="Arial"/>
        <family val="2"/>
      </rPr>
      <t>(m/s²)</t>
    </r>
  </si>
  <si>
    <r>
      <t xml:space="preserve">aren 
</t>
    </r>
    <r>
      <rPr>
        <b/>
        <sz val="7"/>
        <color indexed="8"/>
        <rFont val="Arial"/>
        <family val="2"/>
      </rPr>
      <t>(m/s²)</t>
    </r>
  </si>
  <si>
    <r>
      <t>VDVexp(x)
(m/s</t>
    </r>
    <r>
      <rPr>
        <b/>
        <vertAlign val="superscript"/>
        <sz val="8"/>
        <color indexed="8"/>
        <rFont val="Arial"/>
        <family val="2"/>
      </rPr>
      <t>1,75)</t>
    </r>
  </si>
  <si>
    <r>
      <t>VDVexp(y)
(m/s</t>
    </r>
    <r>
      <rPr>
        <b/>
        <vertAlign val="superscript"/>
        <sz val="8"/>
        <color indexed="8"/>
        <rFont val="Arial"/>
        <family val="2"/>
      </rPr>
      <t>1,75)</t>
    </r>
  </si>
  <si>
    <r>
      <t>VDVexp(z)
(m/s</t>
    </r>
    <r>
      <rPr>
        <b/>
        <vertAlign val="superscript"/>
        <sz val="8"/>
        <color indexed="8"/>
        <rFont val="Arial"/>
        <family val="2"/>
      </rPr>
      <t>1,75)</t>
    </r>
  </si>
  <si>
    <r>
      <t>VDVR
(m/s)</t>
    </r>
    <r>
      <rPr>
        <b/>
        <vertAlign val="superscript"/>
        <sz val="8"/>
        <color indexed="8"/>
        <rFont val="Arial"/>
        <family val="2"/>
      </rPr>
      <t>1,75</t>
    </r>
  </si>
  <si>
    <r>
      <t>NA
(m/s)</t>
    </r>
    <r>
      <rPr>
        <b/>
        <vertAlign val="superscript"/>
        <sz val="8"/>
        <color indexed="8"/>
        <rFont val="Arial"/>
        <family val="2"/>
      </rPr>
      <t>1,75</t>
    </r>
  </si>
  <si>
    <r>
      <t>LT
(m/s)</t>
    </r>
    <r>
      <rPr>
        <b/>
        <vertAlign val="superscript"/>
        <sz val="8"/>
        <color indexed="8"/>
        <rFont val="Arial"/>
        <family val="2"/>
      </rPr>
      <t>1,76</t>
    </r>
  </si>
  <si>
    <r>
      <t>VDVR Médio
(m/s)</t>
    </r>
    <r>
      <rPr>
        <b/>
        <vertAlign val="superscript"/>
        <sz val="8"/>
        <color indexed="8"/>
        <rFont val="Arial"/>
        <family val="2"/>
      </rPr>
      <t>1,74</t>
    </r>
  </si>
  <si>
    <t>AREN Médio
(m/s²)</t>
  </si>
  <si>
    <t>Parecer em caso de avaliação qualitativa</t>
  </si>
  <si>
    <t>Forma de 
Avaliação</t>
  </si>
  <si>
    <t>Vias de
 Ingresso</t>
  </si>
  <si>
    <t>Possíveis Danos
 a Saúde</t>
  </si>
  <si>
    <t>Código da 
amostra</t>
  </si>
  <si>
    <r>
      <t xml:space="preserve">Legenda:	</t>
    </r>
    <r>
      <rPr>
        <sz val="8"/>
        <color indexed="10"/>
        <rFont val="Arial"/>
        <family val="2"/>
      </rPr>
      <t>Vermelho</t>
    </r>
    <r>
      <rPr>
        <sz val="8"/>
        <rFont val="Arial"/>
        <family val="2"/>
      </rPr>
      <t xml:space="preserve"> – Acima do LT/ LEO  </t>
    </r>
    <r>
      <rPr>
        <sz val="8"/>
        <color indexed="53"/>
        <rFont val="Arial"/>
        <family val="2"/>
      </rPr>
      <t>Laranja</t>
    </r>
    <r>
      <rPr>
        <sz val="8"/>
        <rFont val="Arial"/>
        <family val="2"/>
      </rPr>
      <t xml:space="preserve"> – Entre o NA e LT/LEO  </t>
    </r>
    <r>
      <rPr>
        <sz val="8"/>
        <color indexed="17"/>
        <rFont val="Arial"/>
        <family val="2"/>
      </rPr>
      <t>Verde</t>
    </r>
    <r>
      <rPr>
        <sz val="8"/>
        <rFont val="Arial"/>
        <family val="2"/>
      </rPr>
      <t xml:space="preserve"> – Abaixo do NA   </t>
    </r>
    <r>
      <rPr>
        <sz val="8"/>
        <color indexed="30"/>
        <rFont val="Arial"/>
        <family val="2"/>
      </rPr>
      <t>Azul</t>
    </r>
    <r>
      <rPr>
        <sz val="8"/>
        <rFont val="Arial"/>
        <family val="2"/>
      </rPr>
      <t xml:space="preserve"> - Análise Qualitativa     </t>
    </r>
    <r>
      <rPr>
        <b/>
        <sz val="8"/>
        <rFont val="Arial"/>
        <family val="2"/>
      </rPr>
      <t>ND</t>
    </r>
    <r>
      <rPr>
        <sz val="8"/>
        <rFont val="Arial"/>
        <family val="2"/>
      </rPr>
      <t xml:space="preserve"> – Não detectado na análise</t>
    </r>
  </si>
  <si>
    <r>
      <rPr>
        <b/>
        <sz val="8"/>
        <rFont val="Arial"/>
        <family val="2"/>
      </rPr>
      <t>MG</t>
    </r>
    <r>
      <rPr>
        <sz val="8"/>
        <rFont val="Arial"/>
        <family val="2"/>
      </rPr>
      <t xml:space="preserve">: Média Geométrica / </t>
    </r>
    <r>
      <rPr>
        <b/>
        <sz val="8"/>
        <rFont val="Arial"/>
        <family val="2"/>
      </rPr>
      <t>NA</t>
    </r>
    <r>
      <rPr>
        <sz val="8"/>
        <rFont val="Arial"/>
        <family val="2"/>
      </rPr>
      <t xml:space="preserve">: Nível de Ação / </t>
    </r>
    <r>
      <rPr>
        <b/>
        <sz val="8"/>
        <rFont val="Arial"/>
        <family val="2"/>
      </rPr>
      <t>LT</t>
    </r>
    <r>
      <rPr>
        <sz val="8"/>
        <rFont val="Arial"/>
        <family val="2"/>
      </rPr>
      <t xml:space="preserve">: Limite de Tolerância / </t>
    </r>
    <r>
      <rPr>
        <b/>
        <sz val="8"/>
        <rFont val="Arial"/>
        <family val="2"/>
      </rPr>
      <t>LEO</t>
    </r>
    <r>
      <rPr>
        <sz val="8"/>
        <rFont val="Arial"/>
        <family val="2"/>
      </rPr>
      <t xml:space="preserve">: Limite de Exposição Ocupacional / </t>
    </r>
    <r>
      <rPr>
        <b/>
        <sz val="8"/>
        <rFont val="Arial"/>
        <family val="2"/>
      </rPr>
      <t>ND</t>
    </r>
    <r>
      <rPr>
        <sz val="8"/>
        <rFont val="Arial"/>
        <family val="2"/>
      </rPr>
      <t>: Não Detectado</t>
    </r>
  </si>
  <si>
    <t>LT / LEO</t>
  </si>
  <si>
    <t>NA</t>
  </si>
  <si>
    <t xml:space="preserve">Intensidade / Concentração (MG) </t>
  </si>
  <si>
    <t>Locais de Trabalho / Descrição do Ambiente de Trabalho</t>
  </si>
  <si>
    <t>Descrição da Função</t>
  </si>
  <si>
    <t>Qualitativo</t>
  </si>
  <si>
    <t>Resultado Ambientais Quantitativo</t>
  </si>
  <si>
    <t>Função / Cargo</t>
  </si>
  <si>
    <t>Código da Posição</t>
  </si>
  <si>
    <t>IBUTG Médio com a Adição da Temperatura  (conforme NHO 06)
(ºC)</t>
  </si>
  <si>
    <t>Valor acrescido da vestimenta conforme (NHO 06)</t>
  </si>
  <si>
    <t>Descrever oTipo de Vestimenta do empregado</t>
  </si>
  <si>
    <t>IBUTG (ºC)</t>
  </si>
  <si>
    <t>CRITÉRIO da NR-09 e 15 / NHO 09 (AREN)</t>
  </si>
  <si>
    <t>CRITÉRIO da NR-09 e 15 / NHO 10 (AREN)</t>
  </si>
  <si>
    <t xml:space="preserve">Metodologia da NHO- 06, NR-09 e NR-15  </t>
  </si>
  <si>
    <t xml:space="preserve">AGENTE AMBIENTAL: </t>
  </si>
  <si>
    <r>
      <t>NOME QUÍMICO e N° CAS:</t>
    </r>
    <r>
      <rPr>
        <sz val="10"/>
        <rFont val="Arial"/>
        <family val="2"/>
      </rPr>
      <t xml:space="preserve"> (aplicável para os agentes químicos)</t>
    </r>
  </si>
  <si>
    <t xml:space="preserve">REGULAMENTAÇÃO: </t>
  </si>
  <si>
    <t xml:space="preserve">POEIRA MINERAL - (POEIRA  TOTAL)           </t>
  </si>
  <si>
    <t xml:space="preserve">POEIRA MINERAL - (POEIRA RESPIRÁVEL)                </t>
  </si>
  <si>
    <t xml:space="preserve">Critério da ACGIH </t>
  </si>
  <si>
    <t>LT (NR-15) / 
(mg/m³)</t>
  </si>
  <si>
    <t>LEO 
(mg/m³)</t>
  </si>
  <si>
    <t>CONCENTRAÇÃO
(mg/m³)</t>
  </si>
  <si>
    <t>Poeira Respirável</t>
  </si>
  <si>
    <t>Resultados de Quartzo</t>
  </si>
  <si>
    <t xml:space="preserve"> quartzo
 (%)</t>
  </si>
  <si>
    <t xml:space="preserve"> Quartzo</t>
  </si>
  <si>
    <t>Dispositivo de Coleta</t>
  </si>
  <si>
    <t>LEO ACGIH
(mg/m³)</t>
  </si>
  <si>
    <t>CRITÉRIO ACGIH</t>
  </si>
  <si>
    <t>Resultados de PNOS</t>
  </si>
  <si>
    <t>Registro gráfico da distribuição e medidas estatísticas :</t>
  </si>
  <si>
    <r>
      <t xml:space="preserve">Legenda: </t>
    </r>
    <r>
      <rPr>
        <b/>
        <sz val="7"/>
        <rFont val="Arial"/>
        <family val="2"/>
      </rPr>
      <t>Conc</t>
    </r>
    <r>
      <rPr>
        <sz val="7"/>
        <rFont val="Arial"/>
        <family val="2"/>
      </rPr>
      <t xml:space="preserve">. – Concentração     </t>
    </r>
    <r>
      <rPr>
        <b/>
        <sz val="7"/>
        <rFont val="Arial"/>
        <family val="2"/>
      </rPr>
      <t>MG</t>
    </r>
    <r>
      <rPr>
        <sz val="7"/>
        <rFont val="Arial"/>
        <family val="2"/>
      </rPr>
      <t xml:space="preserve"> – Média Geométrica    </t>
    </r>
    <r>
      <rPr>
        <b/>
        <sz val="7"/>
        <rFont val="Arial"/>
        <family val="2"/>
      </rPr>
      <t>DPG</t>
    </r>
    <r>
      <rPr>
        <sz val="7"/>
        <rFont val="Arial"/>
        <family val="2"/>
      </rPr>
      <t xml:space="preserve"> – Desvio Padrão Geométrico  </t>
    </r>
    <r>
      <rPr>
        <b/>
        <sz val="7"/>
        <rFont val="Arial"/>
        <family val="2"/>
      </rPr>
      <t xml:space="preserve"> P 95%</t>
    </r>
    <r>
      <rPr>
        <sz val="7"/>
        <rFont val="Arial"/>
        <family val="2"/>
      </rPr>
      <t xml:space="preserve"> - Percentil 95   </t>
    </r>
    <r>
      <rPr>
        <b/>
        <sz val="7"/>
        <rFont val="Arial"/>
        <family val="2"/>
      </rPr>
      <t>ND</t>
    </r>
    <r>
      <rPr>
        <sz val="7"/>
        <rFont val="Arial"/>
        <family val="2"/>
      </rPr>
      <t xml:space="preserve"> - Não Detectado    </t>
    </r>
    <r>
      <rPr>
        <b/>
        <sz val="7"/>
        <rFont val="Arial"/>
        <family val="2"/>
      </rPr>
      <t>LEO</t>
    </r>
    <r>
      <rPr>
        <sz val="7"/>
        <rFont val="Arial"/>
        <family val="2"/>
      </rPr>
      <t xml:space="preserve"> - Limite de Exposição Ocupacional-  </t>
    </r>
    <r>
      <rPr>
        <b/>
        <sz val="7"/>
        <rFont val="Arial"/>
        <family val="2"/>
      </rPr>
      <t>NR</t>
    </r>
    <r>
      <rPr>
        <sz val="7"/>
        <rFont val="Arial"/>
        <family val="2"/>
      </rPr>
      <t xml:space="preserve"> - Norma Regulamentadora</t>
    </r>
  </si>
  <si>
    <t>Tipo de 
Partícula</t>
  </si>
  <si>
    <t xml:space="preserve">PARTÍCULAS (INSOLÚVEIS DE BAIXA SOLUBILIDADE NÃO ESPECIFICADAS DE OUTRA MANEIRA PNOS-  (Inserir o nome)        </t>
  </si>
  <si>
    <t xml:space="preserve"> Relatório Técnico dos Agentes Ambientais                                               </t>
  </si>
  <si>
    <t>Anexo V do PGS-MOS-EHS-203</t>
  </si>
  <si>
    <t>Anexo 5 do PGS-MOS-EHS-203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</si>
</sst>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h:mm;@"/>
    <numFmt numFmtId="165" formatCode="0.0%"/>
    <numFmt numFmtId="166" formatCode="0.000"/>
    <numFmt numFmtId="167" formatCode="0.0"/>
  </numFmts>
  <fonts count="43">
    <font>
      <sz val="10"/>
      <name val="Arial"/>
    </font>
    <font>
      <sz val="10"/>
      <name val="Arial"/>
      <family val="2"/>
    </font>
    <font>
      <sz val="8"/>
      <name val="Arial"/>
      <family val="2"/>
    </font>
    <font>
      <sz val="10"/>
      <name val="Arial"/>
      <family val="2"/>
    </font>
    <font>
      <b/>
      <sz val="10"/>
      <name val="Arial"/>
      <family val="2"/>
    </font>
    <font>
      <sz val="10"/>
      <name val="Arial"/>
      <family val="2"/>
    </font>
    <font>
      <sz val="9"/>
      <name val="Arial"/>
      <family val="2"/>
    </font>
    <font>
      <b/>
      <sz val="9"/>
      <name val="Arial"/>
      <family val="2"/>
    </font>
    <font>
      <sz val="8"/>
      <name val="Arial"/>
      <family val="2"/>
    </font>
    <font>
      <sz val="10"/>
      <name val="Geneva"/>
    </font>
    <font>
      <sz val="8"/>
      <name val="Geneva"/>
    </font>
    <font>
      <b/>
      <sz val="14"/>
      <color indexed="10"/>
      <name val="Geneva"/>
    </font>
    <font>
      <sz val="14"/>
      <name val="Geneva"/>
    </font>
    <font>
      <sz val="14"/>
      <name val="Tms Rmn"/>
    </font>
    <font>
      <b/>
      <sz val="12"/>
      <color indexed="50"/>
      <name val="Geneva"/>
    </font>
    <font>
      <sz val="10"/>
      <color indexed="50"/>
      <name val="Geneva"/>
    </font>
    <font>
      <sz val="12"/>
      <color indexed="50"/>
      <name val="Tms Rmn"/>
    </font>
    <font>
      <b/>
      <sz val="10"/>
      <name val="Geneva"/>
    </font>
    <font>
      <b/>
      <sz val="10"/>
      <name val="Arial"/>
      <family val="2"/>
    </font>
    <font>
      <sz val="10"/>
      <color indexed="10"/>
      <name val="Arial"/>
      <family val="2"/>
    </font>
    <font>
      <b/>
      <sz val="10"/>
      <color indexed="10"/>
      <name val="Arial"/>
      <family val="2"/>
    </font>
    <font>
      <b/>
      <sz val="10"/>
      <color indexed="10"/>
      <name val="Arial"/>
      <family val="2"/>
    </font>
    <font>
      <sz val="8"/>
      <color indexed="81"/>
      <name val="Tahoma"/>
      <family val="2"/>
    </font>
    <font>
      <b/>
      <sz val="8"/>
      <name val="Arial"/>
      <family val="2"/>
    </font>
    <font>
      <sz val="7"/>
      <name val="Arial"/>
      <family val="2"/>
    </font>
    <font>
      <b/>
      <i/>
      <sz val="10"/>
      <name val="Arial"/>
      <family val="2"/>
    </font>
    <font>
      <b/>
      <sz val="8"/>
      <name val="Symbol"/>
      <family val="1"/>
      <charset val="2"/>
    </font>
    <font>
      <b/>
      <sz val="11"/>
      <name val="Arial"/>
      <family val="2"/>
    </font>
    <font>
      <b/>
      <sz val="7"/>
      <name val="Arial"/>
      <family val="2"/>
    </font>
    <font>
      <b/>
      <sz val="12"/>
      <name val="Arial"/>
      <family val="2"/>
    </font>
    <font>
      <b/>
      <sz val="7"/>
      <color indexed="8"/>
      <name val="Arial"/>
      <family val="2"/>
    </font>
    <font>
      <b/>
      <vertAlign val="superscript"/>
      <sz val="8"/>
      <color indexed="8"/>
      <name val="Arial"/>
      <family val="2"/>
    </font>
    <font>
      <sz val="8"/>
      <color indexed="10"/>
      <name val="Arial"/>
      <family val="2"/>
    </font>
    <font>
      <sz val="8"/>
      <color indexed="53"/>
      <name val="Arial"/>
      <family val="2"/>
    </font>
    <font>
      <sz val="8"/>
      <color indexed="17"/>
      <name val="Arial"/>
      <family val="2"/>
    </font>
    <font>
      <sz val="8"/>
      <color indexed="30"/>
      <name val="Arial"/>
      <family val="2"/>
    </font>
    <font>
      <sz val="10"/>
      <color rgb="FFFF0000"/>
      <name val="Arial"/>
      <family val="2"/>
    </font>
    <font>
      <b/>
      <sz val="10"/>
      <color rgb="FFFF0000"/>
      <name val="Arial"/>
      <family val="2"/>
    </font>
    <font>
      <b/>
      <sz val="8"/>
      <color theme="1"/>
      <name val="Arial"/>
      <family val="2"/>
    </font>
    <font>
      <sz val="8"/>
      <color rgb="FF0070C0"/>
      <name val="Arial"/>
      <family val="2"/>
    </font>
    <font>
      <sz val="8"/>
      <color rgb="FFFF0000"/>
      <name val="Arial"/>
      <family val="2"/>
    </font>
    <font>
      <b/>
      <i/>
      <sz val="10"/>
      <color theme="1"/>
      <name val="Arial"/>
      <family val="2"/>
    </font>
    <font>
      <b/>
      <sz val="10"/>
      <color theme="1"/>
      <name val="Arial"/>
      <family val="2"/>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14999847407452621"/>
        <bgColor rgb="FF000000"/>
      </patternFill>
    </fill>
    <fill>
      <patternFill patternType="solid">
        <fgColor theme="0" tint="-0.14999847407452621"/>
        <bgColor indexed="64"/>
      </patternFill>
    </fill>
  </fills>
  <borders count="82">
    <border>
      <left/>
      <right/>
      <top/>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style="thick">
        <color indexed="10"/>
      </left>
      <right/>
      <top style="thick">
        <color indexed="10"/>
      </top>
      <bottom style="thick">
        <color indexed="10"/>
      </bottom>
      <diagonal/>
    </border>
    <border>
      <left/>
      <right style="thick">
        <color indexed="10"/>
      </right>
      <top style="thick">
        <color indexed="10"/>
      </top>
      <bottom style="thick">
        <color indexed="10"/>
      </bottom>
      <diagonal/>
    </border>
    <border>
      <left style="thick">
        <color indexed="10"/>
      </left>
      <right style="thick">
        <color indexed="10"/>
      </right>
      <top style="thick">
        <color indexed="10"/>
      </top>
      <bottom/>
      <diagonal/>
    </border>
    <border>
      <left style="thick">
        <color indexed="10"/>
      </left>
      <right style="thick">
        <color indexed="10"/>
      </right>
      <top/>
      <bottom/>
      <diagonal/>
    </border>
    <border>
      <left style="thick">
        <color indexed="10"/>
      </left>
      <right style="thick">
        <color indexed="10"/>
      </right>
      <top/>
      <bottom style="thick">
        <color indexed="1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hair">
        <color indexed="64"/>
      </bottom>
      <diagonal/>
    </border>
    <border>
      <left/>
      <right/>
      <top style="hair">
        <color indexed="64"/>
      </top>
      <bottom style="hair">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thin">
        <color indexed="64"/>
      </right>
      <top/>
      <bottom style="thin">
        <color indexed="64"/>
      </bottom>
      <diagonal/>
    </border>
    <border>
      <left style="thin">
        <color indexed="64"/>
      </left>
      <right/>
      <top/>
      <bottom/>
      <diagonal/>
    </border>
    <border>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hair">
        <color indexed="64"/>
      </top>
      <bottom/>
      <diagonal/>
    </border>
  </borders>
  <cellStyleXfs count="3">
    <xf numFmtId="0" fontId="0" fillId="0" borderId="0"/>
    <xf numFmtId="0" fontId="1" fillId="0" borderId="0"/>
    <xf numFmtId="0" fontId="9" fillId="0" borderId="0"/>
  </cellStyleXfs>
  <cellXfs count="607">
    <xf numFmtId="0" fontId="0" fillId="0" borderId="0" xfId="0"/>
    <xf numFmtId="0" fontId="5" fillId="0" borderId="0" xfId="0" applyFont="1" applyBorder="1"/>
    <xf numFmtId="0" fontId="4" fillId="0" borderId="1" xfId="0" applyFont="1" applyBorder="1" applyAlignment="1" applyProtection="1">
      <alignment horizontal="left" vertical="center" wrapText="1"/>
      <protection locked="0"/>
    </xf>
    <xf numFmtId="0" fontId="0" fillId="0" borderId="0" xfId="0" applyAlignment="1" applyProtection="1">
      <alignment vertical="center" wrapText="1"/>
      <protection locked="0"/>
    </xf>
    <xf numFmtId="0" fontId="5" fillId="0" borderId="0" xfId="0" applyFont="1" applyAlignment="1" applyProtection="1">
      <alignment vertical="center" wrapText="1"/>
      <protection locked="0"/>
    </xf>
    <xf numFmtId="0" fontId="5" fillId="0" borderId="0" xfId="0" applyFont="1" applyAlignment="1" applyProtection="1">
      <alignment horizontal="center" vertical="center" wrapText="1"/>
      <protection locked="0"/>
    </xf>
    <xf numFmtId="0" fontId="5" fillId="0" borderId="0" xfId="0" applyFont="1" applyFill="1" applyAlignment="1" applyProtection="1">
      <alignment vertical="center" wrapText="1"/>
      <protection locked="0"/>
    </xf>
    <xf numFmtId="0" fontId="4" fillId="0" borderId="2" xfId="0" applyFont="1" applyBorder="1" applyAlignment="1" applyProtection="1">
      <alignment horizontal="center" vertical="center" wrapText="1"/>
      <protection locked="0"/>
    </xf>
    <xf numFmtId="0" fontId="5" fillId="0" borderId="3" xfId="0" applyFont="1" applyBorder="1" applyAlignment="1" applyProtection="1">
      <alignment vertical="center" wrapText="1"/>
      <protection locked="0"/>
    </xf>
    <xf numFmtId="0" fontId="5" fillId="0" borderId="3" xfId="0" applyFont="1" applyBorder="1" applyAlignment="1" applyProtection="1">
      <alignment horizontal="center" vertical="center" wrapText="1"/>
      <protection locked="0"/>
    </xf>
    <xf numFmtId="0" fontId="5" fillId="0" borderId="3" xfId="0" applyFont="1" applyFill="1" applyBorder="1" applyAlignment="1" applyProtection="1">
      <alignment vertical="center" wrapText="1"/>
      <protection locked="0"/>
    </xf>
    <xf numFmtId="0" fontId="5" fillId="0" borderId="0" xfId="0" applyFont="1" applyBorder="1" applyAlignment="1" applyProtection="1">
      <alignment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Fill="1" applyBorder="1" applyAlignment="1" applyProtection="1">
      <alignment vertical="center" wrapText="1"/>
      <protection locked="0"/>
    </xf>
    <xf numFmtId="0" fontId="4" fillId="0" borderId="0" xfId="0" applyFont="1" applyBorder="1" applyAlignment="1" applyProtection="1">
      <alignment horizontal="left" vertical="center" wrapText="1"/>
      <protection locked="0"/>
    </xf>
    <xf numFmtId="0" fontId="0" fillId="0" borderId="0" xfId="0" applyAlignment="1" applyProtection="1">
      <alignment horizontal="center" vertical="center" wrapText="1"/>
      <protection locked="0"/>
    </xf>
    <xf numFmtId="1" fontId="3" fillId="0" borderId="0" xfId="0" applyNumberFormat="1" applyFont="1" applyAlignment="1" applyProtection="1">
      <alignment horizontal="center" vertical="center" wrapText="1"/>
      <protection locked="0"/>
    </xf>
    <xf numFmtId="0" fontId="11" fillId="0" borderId="0" xfId="2" applyFont="1"/>
    <xf numFmtId="0" fontId="12" fillId="0" borderId="0" xfId="2" applyFont="1"/>
    <xf numFmtId="0" fontId="12" fillId="0" borderId="0" xfId="2" applyFont="1" applyAlignment="1"/>
    <xf numFmtId="0" fontId="12" fillId="0" borderId="0" xfId="2" applyFont="1" applyAlignment="1">
      <alignment horizontal="left"/>
    </xf>
    <xf numFmtId="0" fontId="13" fillId="0" borderId="0" xfId="2" applyFont="1"/>
    <xf numFmtId="0" fontId="14" fillId="0" borderId="0" xfId="2" applyFont="1"/>
    <xf numFmtId="0" fontId="15" fillId="0" borderId="0" xfId="2" applyFont="1"/>
    <xf numFmtId="0" fontId="15" fillId="0" borderId="0" xfId="2" applyFont="1" applyAlignment="1"/>
    <xf numFmtId="0" fontId="15" fillId="0" borderId="0" xfId="2" applyFont="1" applyAlignment="1">
      <alignment horizontal="left"/>
    </xf>
    <xf numFmtId="0" fontId="16" fillId="0" borderId="0" xfId="2" applyFont="1"/>
    <xf numFmtId="0" fontId="17" fillId="0" borderId="0" xfId="2" applyFont="1"/>
    <xf numFmtId="0" fontId="9" fillId="0" borderId="0" xfId="2"/>
    <xf numFmtId="0" fontId="9" fillId="0" borderId="0" xfId="2" applyAlignment="1"/>
    <xf numFmtId="0" fontId="9" fillId="0" borderId="0" xfId="2" applyAlignment="1">
      <alignment horizontal="left"/>
    </xf>
    <xf numFmtId="0" fontId="17" fillId="0" borderId="4" xfId="2" applyFont="1" applyBorder="1"/>
    <xf numFmtId="0" fontId="9" fillId="0" borderId="5" xfId="2" applyBorder="1"/>
    <xf numFmtId="0" fontId="17" fillId="0" borderId="6" xfId="2" applyFont="1" applyBorder="1"/>
    <xf numFmtId="0" fontId="17" fillId="0" borderId="0" xfId="2" applyFont="1" applyAlignment="1">
      <alignment horizontal="left"/>
    </xf>
    <xf numFmtId="0" fontId="9" fillId="0" borderId="7" xfId="2" applyBorder="1"/>
    <xf numFmtId="1" fontId="9" fillId="0" borderId="0" xfId="2" applyNumberFormat="1" applyAlignment="1"/>
    <xf numFmtId="166" fontId="9" fillId="0" borderId="0" xfId="2" applyNumberFormat="1" applyAlignment="1"/>
    <xf numFmtId="166" fontId="9" fillId="0" borderId="0" xfId="2" applyNumberFormat="1"/>
    <xf numFmtId="0" fontId="9" fillId="0" borderId="0" xfId="2" applyAlignment="1">
      <alignment horizontal="right"/>
    </xf>
    <xf numFmtId="0" fontId="9" fillId="0" borderId="8" xfId="2" applyBorder="1"/>
    <xf numFmtId="2" fontId="9" fillId="0" borderId="0" xfId="2" applyNumberFormat="1"/>
    <xf numFmtId="2" fontId="9" fillId="0" borderId="0" xfId="2" applyNumberFormat="1" applyAlignment="1"/>
    <xf numFmtId="0" fontId="9" fillId="0" borderId="0" xfId="2" applyFont="1"/>
    <xf numFmtId="166" fontId="9" fillId="0" borderId="0" xfId="2" applyNumberFormat="1" applyAlignment="1">
      <alignment horizontal="left"/>
    </xf>
    <xf numFmtId="0" fontId="18" fillId="0" borderId="0" xfId="2" applyFont="1"/>
    <xf numFmtId="166" fontId="18" fillId="0" borderId="0" xfId="2" applyNumberFormat="1" applyFont="1"/>
    <xf numFmtId="0" fontId="19" fillId="0" borderId="0" xfId="2" applyFont="1"/>
    <xf numFmtId="0" fontId="20" fillId="0" borderId="0" xfId="2" applyFont="1"/>
    <xf numFmtId="0" fontId="9" fillId="0" borderId="0" xfId="2" quotePrefix="1"/>
    <xf numFmtId="0" fontId="21" fillId="0" borderId="0" xfId="2" applyFont="1"/>
    <xf numFmtId="0" fontId="4" fillId="0" borderId="2" xfId="0" applyFont="1" applyBorder="1" applyAlignment="1" applyProtection="1">
      <alignment horizontal="left" vertical="center" wrapText="1"/>
      <protection locked="0"/>
    </xf>
    <xf numFmtId="0" fontId="23" fillId="0" borderId="9" xfId="0" applyFont="1" applyBorder="1" applyAlignment="1" applyProtection="1">
      <alignment horizontal="center" vertical="center" wrapText="1"/>
      <protection locked="0"/>
    </xf>
    <xf numFmtId="0" fontId="23" fillId="0" borderId="10" xfId="0" applyFont="1" applyBorder="1" applyAlignment="1" applyProtection="1">
      <alignment horizontal="center" vertical="center" wrapText="1"/>
      <protection locked="0"/>
    </xf>
    <xf numFmtId="0" fontId="0" fillId="0" borderId="0" xfId="0" applyBorder="1" applyAlignment="1" applyProtection="1">
      <alignment vertical="center" wrapText="1"/>
      <protection locked="0"/>
    </xf>
    <xf numFmtId="0" fontId="6" fillId="0" borderId="0" xfId="0" applyFont="1" applyBorder="1" applyAlignment="1" applyProtection="1">
      <alignment horizontal="center" vertical="center" wrapText="1"/>
      <protection locked="0"/>
    </xf>
    <xf numFmtId="166" fontId="6" fillId="0" borderId="0" xfId="0" applyNumberFormat="1" applyFont="1" applyBorder="1" applyAlignment="1" applyProtection="1">
      <alignment horizontal="left" vertical="center" wrapText="1"/>
      <protection locked="0"/>
    </xf>
    <xf numFmtId="0" fontId="8" fillId="2" borderId="11" xfId="0" applyFont="1" applyFill="1" applyBorder="1" applyAlignment="1" applyProtection="1">
      <alignment horizontal="center" vertical="center" wrapText="1"/>
    </xf>
    <xf numFmtId="0" fontId="5" fillId="0" borderId="0" xfId="0" applyFont="1" applyFill="1" applyBorder="1"/>
    <xf numFmtId="0" fontId="0" fillId="0" borderId="0" xfId="0" applyBorder="1" applyAlignment="1" applyProtection="1">
      <alignment horizontal="center" vertical="center" wrapText="1"/>
      <protection locked="0"/>
    </xf>
    <xf numFmtId="0" fontId="23" fillId="0" borderId="10"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0" xfId="0" applyFont="1" applyBorder="1" applyAlignment="1" applyProtection="1">
      <alignment horizontal="center" vertical="center" wrapText="1"/>
      <protection locked="0"/>
    </xf>
    <xf numFmtId="0" fontId="23" fillId="0" borderId="12" xfId="0" applyFont="1" applyBorder="1" applyAlignment="1" applyProtection="1">
      <alignment horizontal="center" vertical="center" wrapText="1"/>
      <protection locked="0"/>
    </xf>
    <xf numFmtId="0" fontId="7" fillId="0" borderId="0" xfId="0" applyFont="1" applyBorder="1" applyAlignment="1" applyProtection="1">
      <alignment horizontal="left" vertical="center" wrapText="1"/>
      <protection locked="0"/>
    </xf>
    <xf numFmtId="0" fontId="3" fillId="0" borderId="0" xfId="0" applyFont="1" applyBorder="1" applyAlignment="1" applyProtection="1">
      <alignment vertical="center" wrapText="1"/>
      <protection locked="0"/>
    </xf>
    <xf numFmtId="0" fontId="4" fillId="0" borderId="0" xfId="0" applyFont="1" applyBorder="1" applyAlignment="1">
      <alignment horizontal="center" vertical="center" wrapText="1"/>
    </xf>
    <xf numFmtId="0" fontId="5" fillId="0" borderId="0" xfId="0" applyFont="1" applyAlignment="1">
      <alignment vertical="center" wrapText="1"/>
    </xf>
    <xf numFmtId="0" fontId="1" fillId="0" borderId="0" xfId="0" applyFont="1" applyBorder="1" applyAlignment="1">
      <alignment vertical="center" wrapText="1"/>
    </xf>
    <xf numFmtId="0" fontId="4" fillId="0" borderId="0" xfId="0" applyFont="1" applyBorder="1" applyAlignment="1">
      <alignment vertical="center" wrapText="1"/>
    </xf>
    <xf numFmtId="0" fontId="4" fillId="0" borderId="0" xfId="0" applyFont="1" applyFill="1" applyBorder="1" applyAlignment="1">
      <alignment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Border="1" applyAlignment="1">
      <alignment vertical="center" wrapText="1"/>
    </xf>
    <xf numFmtId="0" fontId="4" fillId="0" borderId="2" xfId="0" applyFont="1" applyFill="1" applyBorder="1" applyAlignment="1">
      <alignmen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8" fillId="2" borderId="1" xfId="0" applyFont="1" applyFill="1" applyBorder="1" applyAlignment="1" applyProtection="1">
      <alignment horizontal="right" vertical="center" wrapText="1"/>
    </xf>
    <xf numFmtId="166" fontId="8" fillId="2" borderId="0" xfId="0" applyNumberFormat="1" applyFont="1" applyFill="1" applyBorder="1" applyAlignment="1" applyProtection="1">
      <alignment horizontal="right" vertical="center" wrapText="1"/>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4" fillId="2" borderId="0" xfId="0" applyFont="1" applyFill="1" applyBorder="1" applyAlignment="1">
      <alignment horizontal="center" vertical="center" wrapText="1"/>
    </xf>
    <xf numFmtId="0" fontId="4" fillId="2" borderId="0" xfId="0" applyFont="1" applyFill="1" applyBorder="1" applyAlignment="1">
      <alignment horizontal="right" vertical="center"/>
    </xf>
    <xf numFmtId="0" fontId="8" fillId="0" borderId="10" xfId="0" applyFont="1" applyBorder="1" applyAlignment="1" applyProtection="1">
      <alignment vertical="center" wrapText="1"/>
      <protection locked="0"/>
    </xf>
    <xf numFmtId="0" fontId="4" fillId="0" borderId="0" xfId="0"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25" fillId="0" borderId="0" xfId="0" applyFont="1" applyBorder="1" applyAlignment="1" applyProtection="1">
      <alignment horizontal="left" vertical="center"/>
      <protection locked="0"/>
    </xf>
    <xf numFmtId="0" fontId="25" fillId="0" borderId="0" xfId="0" applyFont="1" applyBorder="1" applyAlignment="1" applyProtection="1">
      <alignment horizontal="left" vertical="center" wrapText="1"/>
      <protection locked="0"/>
    </xf>
    <xf numFmtId="0" fontId="0" fillId="0" borderId="15"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0" xfId="0" applyBorder="1" applyAlignment="1" applyProtection="1">
      <alignment vertical="center"/>
      <protection locked="0"/>
    </xf>
    <xf numFmtId="0" fontId="0" fillId="0" borderId="2" xfId="0" applyBorder="1" applyAlignment="1" applyProtection="1">
      <alignment horizontal="center" vertical="center" wrapText="1"/>
      <protection locked="0"/>
    </xf>
    <xf numFmtId="0" fontId="7" fillId="0" borderId="2" xfId="0" applyFont="1" applyBorder="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5" fillId="0" borderId="0" xfId="0" applyFont="1" applyBorder="1" applyAlignment="1" applyProtection="1">
      <alignment vertical="center"/>
      <protection locked="0"/>
    </xf>
    <xf numFmtId="0" fontId="5" fillId="0" borderId="0" xfId="0" applyFont="1" applyFill="1" applyBorder="1" applyAlignment="1" applyProtection="1">
      <alignment vertical="center"/>
      <protection locked="0"/>
    </xf>
    <xf numFmtId="0" fontId="0" fillId="0" borderId="3" xfId="0" applyBorder="1" applyAlignment="1" applyProtection="1">
      <alignment vertical="center"/>
      <protection locked="0"/>
    </xf>
    <xf numFmtId="0" fontId="8" fillId="2" borderId="16" xfId="0" applyFont="1" applyFill="1" applyBorder="1" applyAlignment="1" applyProtection="1">
      <alignment horizontal="center" vertical="center"/>
    </xf>
    <xf numFmtId="0" fontId="23" fillId="0" borderId="17" xfId="0" applyFont="1" applyFill="1" applyBorder="1" applyAlignment="1">
      <alignment horizontal="center"/>
    </xf>
    <xf numFmtId="0" fontId="23" fillId="0" borderId="17" xfId="0" applyFont="1" applyBorder="1" applyAlignment="1">
      <alignment horizontal="center"/>
    </xf>
    <xf numFmtId="0" fontId="4"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4" fillId="2" borderId="2" xfId="0" applyFont="1" applyFill="1" applyBorder="1" applyAlignment="1">
      <alignment horizontal="right" vertical="center"/>
    </xf>
    <xf numFmtId="0" fontId="4" fillId="0" borderId="0" xfId="0" applyFont="1" applyBorder="1" applyAlignment="1"/>
    <xf numFmtId="0" fontId="0" fillId="0" borderId="0" xfId="0" applyNumberFormat="1" applyAlignment="1" applyProtection="1">
      <alignment vertical="center" wrapText="1"/>
      <protection locked="0"/>
    </xf>
    <xf numFmtId="0" fontId="8" fillId="2" borderId="0" xfId="0" applyFont="1" applyFill="1" applyBorder="1" applyAlignment="1" applyProtection="1">
      <alignment horizontal="right" vertical="center" wrapText="1"/>
    </xf>
    <xf numFmtId="0" fontId="8" fillId="0" borderId="0" xfId="0" applyFont="1" applyBorder="1" applyAlignment="1" applyProtection="1">
      <alignment vertical="center" wrapText="1"/>
      <protection locked="0"/>
    </xf>
    <xf numFmtId="0" fontId="7" fillId="0" borderId="1" xfId="0" applyFont="1" applyBorder="1" applyAlignment="1" applyProtection="1">
      <alignment horizontal="left" vertical="center"/>
      <protection locked="0"/>
    </xf>
    <xf numFmtId="0" fontId="7" fillId="0" borderId="0" xfId="0" applyFont="1" applyBorder="1" applyAlignment="1" applyProtection="1">
      <alignment vertical="center"/>
      <protection locked="0"/>
    </xf>
    <xf numFmtId="0" fontId="3" fillId="0" borderId="0" xfId="0" applyFont="1" applyBorder="1" applyAlignment="1">
      <alignment vertical="center" wrapText="1"/>
    </xf>
    <xf numFmtId="0" fontId="3" fillId="0" borderId="0" xfId="0" applyFont="1" applyAlignment="1">
      <alignment vertical="center" wrapText="1"/>
    </xf>
    <xf numFmtId="0" fontId="3" fillId="0" borderId="0" xfId="0" applyFont="1" applyFill="1" applyAlignment="1">
      <alignment vertical="center" wrapText="1"/>
    </xf>
    <xf numFmtId="0" fontId="3" fillId="2" borderId="2" xfId="0" applyFont="1" applyFill="1" applyBorder="1" applyAlignment="1">
      <alignment vertical="center" wrapText="1"/>
    </xf>
    <xf numFmtId="0" fontId="3" fillId="0" borderId="0" xfId="0" applyFont="1" applyAlignment="1">
      <alignment horizontal="left" vertical="center" wrapText="1"/>
    </xf>
    <xf numFmtId="0" fontId="4" fillId="0" borderId="18" xfId="0" applyFont="1" applyBorder="1" applyAlignment="1">
      <alignment horizontal="center" vertical="center" wrapText="1"/>
    </xf>
    <xf numFmtId="0" fontId="3" fillId="3" borderId="0" xfId="0" applyFont="1" applyFill="1" applyBorder="1" applyAlignment="1">
      <alignment vertical="center" wrapText="1"/>
    </xf>
    <xf numFmtId="0" fontId="1" fillId="0" borderId="0" xfId="0" applyFont="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lignment vertical="center" wrapText="1"/>
    </xf>
    <xf numFmtId="2" fontId="8" fillId="3" borderId="10" xfId="0" applyNumberFormat="1" applyFont="1" applyFill="1" applyBorder="1" applyAlignment="1" applyProtection="1">
      <alignment horizontal="center" vertical="center" wrapText="1"/>
      <protection locked="0"/>
    </xf>
    <xf numFmtId="2" fontId="8" fillId="3" borderId="10" xfId="0" applyNumberFormat="1" applyFont="1" applyFill="1" applyBorder="1" applyAlignment="1" applyProtection="1">
      <alignment horizontal="center" vertical="center" wrapText="1"/>
    </xf>
    <xf numFmtId="167" fontId="8" fillId="3" borderId="10" xfId="0" applyNumberFormat="1" applyFont="1" applyFill="1" applyBorder="1" applyAlignment="1" applyProtection="1">
      <alignment horizontal="center" vertical="center" wrapText="1"/>
    </xf>
    <xf numFmtId="0" fontId="8" fillId="3" borderId="12" xfId="0" applyFont="1" applyFill="1" applyBorder="1" applyAlignment="1" applyProtection="1">
      <alignment horizontal="center" vertical="center" wrapText="1"/>
    </xf>
    <xf numFmtId="0" fontId="2" fillId="0" borderId="16" xfId="0" applyFont="1" applyBorder="1" applyAlignment="1">
      <alignment vertical="center" wrapText="1"/>
    </xf>
    <xf numFmtId="0" fontId="2" fillId="0" borderId="19" xfId="0" applyFont="1" applyBorder="1" applyAlignment="1">
      <alignment vertical="center" wrapText="1"/>
    </xf>
    <xf numFmtId="0" fontId="5" fillId="0" borderId="0" xfId="0" applyFont="1" applyBorder="1" applyAlignment="1">
      <alignment vertical="center" wrapText="1"/>
    </xf>
    <xf numFmtId="0" fontId="2" fillId="0" borderId="20" xfId="0" applyFont="1" applyBorder="1" applyAlignment="1">
      <alignment vertical="center" wrapText="1"/>
    </xf>
    <xf numFmtId="0" fontId="24" fillId="0" borderId="0" xfId="0" applyFont="1" applyBorder="1" applyAlignment="1">
      <alignment horizontal="left"/>
    </xf>
    <xf numFmtId="0" fontId="0" fillId="0" borderId="21" xfId="0" applyBorder="1"/>
    <xf numFmtId="0" fontId="3" fillId="0" borderId="22"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4" fillId="0" borderId="15" xfId="0" applyFont="1" applyBorder="1" applyAlignment="1" applyProtection="1">
      <alignment horizontal="left" vertical="center" wrapText="1"/>
      <protection locked="0"/>
    </xf>
    <xf numFmtId="2" fontId="8" fillId="3" borderId="12" xfId="0" applyNumberFormat="1" applyFont="1" applyFill="1" applyBorder="1" applyAlignment="1" applyProtection="1">
      <alignment horizontal="center" vertical="center" wrapText="1"/>
    </xf>
    <xf numFmtId="0" fontId="23" fillId="0" borderId="10" xfId="0" applyFont="1" applyBorder="1" applyAlignment="1">
      <alignment horizontal="center" vertical="center" wrapText="1"/>
    </xf>
    <xf numFmtId="0" fontId="1" fillId="0" borderId="0" xfId="0" applyFont="1" applyAlignment="1" applyProtection="1">
      <alignment vertical="center" wrapText="1"/>
      <protection locked="0"/>
    </xf>
    <xf numFmtId="0" fontId="36" fillId="0" borderId="0" xfId="0" applyFont="1" applyAlignment="1" applyProtection="1">
      <alignment vertical="center" wrapText="1"/>
      <protection locked="0"/>
    </xf>
    <xf numFmtId="166" fontId="8" fillId="0" borderId="12" xfId="0" applyNumberFormat="1" applyFont="1" applyFill="1" applyBorder="1" applyAlignment="1" applyProtection="1">
      <alignment horizontal="center" vertical="center" wrapText="1"/>
      <protection locked="0"/>
    </xf>
    <xf numFmtId="0" fontId="4" fillId="2" borderId="2" xfId="0" applyFont="1" applyFill="1" applyBorder="1" applyAlignment="1">
      <alignment horizontal="left" vertical="center" wrapText="1"/>
    </xf>
    <xf numFmtId="20" fontId="8" fillId="3" borderId="10" xfId="0" applyNumberFormat="1" applyFont="1" applyFill="1" applyBorder="1" applyAlignment="1" applyProtection="1">
      <alignment horizontal="center" vertical="center" wrapText="1"/>
      <protection locked="0"/>
    </xf>
    <xf numFmtId="0" fontId="8" fillId="3" borderId="0" xfId="0" applyFont="1" applyFill="1" applyBorder="1" applyAlignment="1" applyProtection="1">
      <alignment horizontal="center" vertical="center" wrapText="1"/>
      <protection locked="0"/>
    </xf>
    <xf numFmtId="0" fontId="37" fillId="2" borderId="2" xfId="0" applyFont="1" applyFill="1" applyBorder="1" applyAlignment="1">
      <alignment vertical="center" wrapText="1"/>
    </xf>
    <xf numFmtId="167" fontId="8" fillId="0" borderId="10" xfId="0" applyNumberFormat="1"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166" fontId="8" fillId="0" borderId="10" xfId="0" applyNumberFormat="1" applyFont="1" applyBorder="1" applyAlignment="1"/>
    <xf numFmtId="0" fontId="8" fillId="0" borderId="10" xfId="0" applyFont="1" applyBorder="1" applyAlignment="1">
      <alignment horizontal="center" wrapText="1"/>
    </xf>
    <xf numFmtId="0" fontId="24" fillId="0" borderId="0" xfId="0" applyFont="1" applyBorder="1" applyAlignment="1" applyProtection="1">
      <alignment horizontal="justify" vertical="center" wrapText="1"/>
      <protection locked="0"/>
    </xf>
    <xf numFmtId="0" fontId="8" fillId="0" borderId="10" xfId="0" applyFont="1" applyBorder="1" applyAlignment="1">
      <alignment horizontal="center"/>
    </xf>
    <xf numFmtId="166" fontId="8" fillId="0" borderId="10" xfId="0" applyNumberFormat="1" applyFont="1" applyBorder="1" applyAlignment="1">
      <alignment horizontal="center"/>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23" fillId="3" borderId="17" xfId="0" applyFont="1" applyFill="1" applyBorder="1" applyAlignment="1">
      <alignment horizontal="center" vertical="center" wrapText="1"/>
    </xf>
    <xf numFmtId="0" fontId="8" fillId="0" borderId="10" xfId="0" applyFont="1" applyBorder="1" applyAlignment="1" applyProtection="1">
      <alignment horizontal="center" vertical="center"/>
      <protection locked="0"/>
    </xf>
    <xf numFmtId="14" fontId="8" fillId="0" borderId="10" xfId="0" applyNumberFormat="1" applyFont="1" applyBorder="1" applyAlignment="1" applyProtection="1">
      <alignment horizontal="center" vertical="center"/>
      <protection locked="0"/>
    </xf>
    <xf numFmtId="20" fontId="8" fillId="0" borderId="10" xfId="0" applyNumberFormat="1"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4" fillId="0" borderId="10" xfId="0" applyFont="1" applyBorder="1" applyAlignment="1" applyProtection="1">
      <alignment vertical="center"/>
      <protection locked="0"/>
    </xf>
    <xf numFmtId="20" fontId="8" fillId="0" borderId="12" xfId="0" applyNumberFormat="1" applyFont="1" applyBorder="1" applyAlignment="1" applyProtection="1">
      <alignment horizontal="center" vertical="center"/>
      <protection locked="0"/>
    </xf>
    <xf numFmtId="0" fontId="8" fillId="0" borderId="26" xfId="0" applyFont="1" applyFill="1" applyBorder="1" applyAlignment="1" applyProtection="1">
      <alignment horizontal="center" vertical="center" wrapText="1"/>
      <protection locked="0"/>
    </xf>
    <xf numFmtId="0" fontId="4" fillId="0" borderId="12" xfId="0" applyFont="1" applyBorder="1" applyAlignment="1" applyProtection="1">
      <alignment vertical="center"/>
      <protection locked="0"/>
    </xf>
    <xf numFmtId="0" fontId="4" fillId="0" borderId="11" xfId="0" applyFont="1" applyBorder="1" applyAlignment="1" applyProtection="1">
      <alignment vertical="center"/>
      <protection locked="0"/>
    </xf>
    <xf numFmtId="0" fontId="4" fillId="0" borderId="27" xfId="0" applyFont="1" applyBorder="1" applyAlignment="1" applyProtection="1">
      <alignment vertical="center"/>
      <protection locked="0"/>
    </xf>
    <xf numFmtId="0" fontId="23" fillId="0" borderId="19" xfId="0" applyFont="1" applyBorder="1" applyAlignment="1" applyProtection="1">
      <alignment vertical="center" wrapText="1"/>
      <protection locked="0"/>
    </xf>
    <xf numFmtId="0" fontId="4" fillId="0" borderId="28" xfId="0" applyFont="1" applyBorder="1"/>
    <xf numFmtId="0" fontId="4" fillId="0" borderId="29" xfId="0" applyFont="1" applyBorder="1" applyAlignment="1"/>
    <xf numFmtId="0" fontId="4" fillId="0" borderId="3" xfId="0" applyFont="1" applyBorder="1" applyAlignment="1"/>
    <xf numFmtId="0" fontId="23" fillId="0" borderId="10" xfId="0" applyFont="1" applyBorder="1" applyAlignment="1">
      <alignment horizontal="center" vertical="center"/>
    </xf>
    <xf numFmtId="0" fontId="8" fillId="0" borderId="10" xfId="0" applyFont="1" applyBorder="1" applyAlignment="1"/>
    <xf numFmtId="0" fontId="8" fillId="0" borderId="12" xfId="0" applyFont="1" applyBorder="1" applyAlignment="1"/>
    <xf numFmtId="0" fontId="8" fillId="0" borderId="11" xfId="0" applyFont="1" applyBorder="1" applyAlignment="1"/>
    <xf numFmtId="0" fontId="4" fillId="0" borderId="30" xfId="0" applyFont="1" applyBorder="1" applyAlignment="1"/>
    <xf numFmtId="0" fontId="8" fillId="0" borderId="10" xfId="0" applyFont="1" applyFill="1" applyBorder="1" applyAlignment="1">
      <alignment horizontal="center"/>
    </xf>
    <xf numFmtId="0" fontId="8" fillId="0" borderId="27" xfId="0" applyFont="1" applyBorder="1" applyAlignment="1"/>
    <xf numFmtId="0" fontId="8" fillId="0" borderId="0" xfId="0" applyFont="1" applyBorder="1" applyAlignment="1">
      <alignment horizontal="center"/>
    </xf>
    <xf numFmtId="0" fontId="8" fillId="0" borderId="0" xfId="0" applyFont="1" applyBorder="1" applyAlignment="1"/>
    <xf numFmtId="0" fontId="8" fillId="0" borderId="0" xfId="0" applyFont="1" applyFill="1" applyBorder="1" applyAlignment="1">
      <alignment horizontal="center"/>
    </xf>
    <xf numFmtId="0" fontId="2" fillId="0" borderId="10" xfId="0" applyFont="1" applyBorder="1" applyAlignment="1">
      <alignment horizontal="center" vertical="center"/>
    </xf>
    <xf numFmtId="0" fontId="2" fillId="4" borderId="10" xfId="0" applyFont="1" applyFill="1" applyBorder="1" applyAlignment="1">
      <alignment horizontal="center" vertical="center"/>
    </xf>
    <xf numFmtId="0" fontId="2" fillId="0" borderId="9" xfId="0" applyFont="1" applyBorder="1" applyAlignment="1">
      <alignment horizontal="center" vertical="center"/>
    </xf>
    <xf numFmtId="0" fontId="2" fillId="4" borderId="9" xfId="0" applyFont="1" applyFill="1" applyBorder="1" applyAlignment="1">
      <alignment horizontal="center" vertical="center"/>
    </xf>
    <xf numFmtId="0" fontId="23" fillId="0" borderId="28" xfId="0" applyFont="1" applyBorder="1" applyAlignment="1">
      <alignment horizontal="center" vertical="center" wrapText="1"/>
    </xf>
    <xf numFmtId="0" fontId="23" fillId="0" borderId="31" xfId="0" applyFont="1" applyBorder="1" applyAlignment="1">
      <alignment horizontal="center" vertical="center" wrapText="1"/>
    </xf>
    <xf numFmtId="0" fontId="23" fillId="0" borderId="31" xfId="0" applyFont="1" applyBorder="1" applyAlignment="1">
      <alignment horizontal="center" vertical="center"/>
    </xf>
    <xf numFmtId="49" fontId="8" fillId="0" borderId="11" xfId="0" applyNumberFormat="1" applyFont="1" applyBorder="1" applyAlignment="1" applyProtection="1">
      <alignment vertical="center"/>
      <protection locked="0"/>
    </xf>
    <xf numFmtId="49" fontId="8" fillId="0" borderId="10" xfId="0" applyNumberFormat="1" applyFont="1" applyBorder="1" applyAlignment="1" applyProtection="1">
      <alignment vertical="center"/>
      <protection locked="0"/>
    </xf>
    <xf numFmtId="0" fontId="1" fillId="0" borderId="0" xfId="1"/>
    <xf numFmtId="0" fontId="1" fillId="0" borderId="0" xfId="1" applyAlignment="1">
      <alignment vertical="center" wrapText="1"/>
    </xf>
    <xf numFmtId="0" fontId="4" fillId="5" borderId="2" xfId="1" applyFont="1" applyFill="1" applyBorder="1" applyAlignment="1">
      <alignment horizontal="right" vertical="center"/>
    </xf>
    <xf numFmtId="49" fontId="4" fillId="6" borderId="32" xfId="1" applyNumberFormat="1" applyFont="1" applyFill="1" applyBorder="1" applyAlignment="1">
      <alignment vertical="center" wrapText="1"/>
    </xf>
    <xf numFmtId="0" fontId="4" fillId="0" borderId="33" xfId="1" applyFont="1" applyBorder="1" applyAlignment="1">
      <alignment horizontal="center" vertical="center" wrapText="1"/>
    </xf>
    <xf numFmtId="0" fontId="4" fillId="0" borderId="34" xfId="1" applyFont="1" applyBorder="1" applyAlignment="1">
      <alignment horizontal="center" vertical="center" wrapText="1"/>
    </xf>
    <xf numFmtId="0" fontId="4" fillId="0" borderId="25" xfId="1" applyFont="1" applyBorder="1" applyAlignment="1">
      <alignment horizontal="center" vertical="center" wrapText="1"/>
    </xf>
    <xf numFmtId="0" fontId="4" fillId="0" borderId="35" xfId="1" applyFont="1" applyBorder="1" applyAlignment="1">
      <alignment horizontal="center" vertical="center" wrapText="1"/>
    </xf>
    <xf numFmtId="0" fontId="4" fillId="0" borderId="0" xfId="1" applyFont="1" applyAlignment="1">
      <alignment horizontal="center" vertical="center" wrapText="1"/>
    </xf>
    <xf numFmtId="0" fontId="4" fillId="0" borderId="36" xfId="1" applyFont="1" applyBorder="1" applyAlignment="1">
      <alignment horizontal="center" vertical="center" wrapText="1"/>
    </xf>
    <xf numFmtId="0" fontId="1" fillId="0" borderId="0" xfId="1" applyAlignment="1">
      <alignment vertical="center"/>
    </xf>
    <xf numFmtId="0" fontId="4" fillId="0" borderId="37" xfId="1" applyFont="1" applyBorder="1" applyAlignment="1">
      <alignment horizontal="center" vertical="center" wrapText="1"/>
    </xf>
    <xf numFmtId="0" fontId="4" fillId="0" borderId="0" xfId="1" applyFont="1"/>
    <xf numFmtId="0" fontId="1" fillId="0" borderId="0" xfId="1" applyAlignment="1">
      <alignment horizontal="left" vertical="top"/>
    </xf>
    <xf numFmtId="0" fontId="1" fillId="0" borderId="0" xfId="1" applyAlignment="1">
      <alignment horizontal="center"/>
    </xf>
    <xf numFmtId="0" fontId="8" fillId="0" borderId="10" xfId="0" applyFont="1" applyBorder="1" applyAlignment="1">
      <alignment horizontal="center" vertical="center" wrapText="1"/>
    </xf>
    <xf numFmtId="0" fontId="8" fillId="3" borderId="10" xfId="0" applyFont="1" applyFill="1" applyBorder="1" applyAlignment="1">
      <alignment horizontal="center" vertical="center" wrapText="1"/>
    </xf>
    <xf numFmtId="0" fontId="38" fillId="3" borderId="10" xfId="0" applyFont="1" applyFill="1" applyBorder="1" applyAlignment="1">
      <alignment horizontal="center" vertical="center" wrapText="1"/>
    </xf>
    <xf numFmtId="0" fontId="38" fillId="3" borderId="34" xfId="0" applyFont="1" applyFill="1" applyBorder="1" applyAlignment="1">
      <alignment horizontal="center" vertical="center" wrapText="1"/>
    </xf>
    <xf numFmtId="0" fontId="38" fillId="0" borderId="10" xfId="0" applyFont="1" applyBorder="1" applyAlignment="1">
      <alignment horizontal="center" vertical="center" wrapText="1"/>
    </xf>
    <xf numFmtId="0" fontId="38" fillId="0" borderId="38" xfId="0" applyFont="1" applyBorder="1" applyAlignment="1">
      <alignment horizontal="center" vertical="center" wrapText="1"/>
    </xf>
    <xf numFmtId="14" fontId="8" fillId="0" borderId="10" xfId="0" applyNumberFormat="1" applyFont="1" applyBorder="1" applyAlignment="1" applyProtection="1">
      <alignment horizontal="center" vertical="center" wrapText="1"/>
      <protection locked="0"/>
    </xf>
    <xf numFmtId="0" fontId="24" fillId="0" borderId="10" xfId="0" applyFont="1" applyBorder="1" applyAlignment="1" applyProtection="1">
      <alignment horizontal="center" vertical="center" wrapText="1"/>
      <protection locked="0"/>
    </xf>
    <xf numFmtId="49" fontId="8" fillId="0" borderId="10" xfId="0" applyNumberFormat="1" applyFont="1" applyFill="1" applyBorder="1" applyAlignment="1" applyProtection="1">
      <alignment horizontal="center" vertical="center" wrapText="1"/>
      <protection locked="0"/>
    </xf>
    <xf numFmtId="20" fontId="8" fillId="0" borderId="10" xfId="0" applyNumberFormat="1" applyFont="1" applyBorder="1" applyAlignment="1" applyProtection="1">
      <alignment horizontal="center" vertical="center" wrapText="1"/>
      <protection locked="0"/>
    </xf>
    <xf numFmtId="165" fontId="8" fillId="2" borderId="10" xfId="0" applyNumberFormat="1" applyFont="1" applyFill="1" applyBorder="1" applyAlignment="1" applyProtection="1">
      <alignment horizontal="center" vertical="center" wrapText="1"/>
    </xf>
    <xf numFmtId="167" fontId="8" fillId="2" borderId="10" xfId="0" applyNumberFormat="1" applyFont="1" applyFill="1" applyBorder="1" applyAlignment="1" applyProtection="1">
      <alignment horizontal="center" vertical="center" wrapText="1"/>
    </xf>
    <xf numFmtId="164" fontId="8" fillId="0" borderId="10" xfId="0" applyNumberFormat="1" applyFont="1" applyBorder="1" applyAlignment="1" applyProtection="1">
      <alignment horizontal="center" vertical="center" wrapText="1"/>
      <protection locked="0"/>
    </xf>
    <xf numFmtId="0" fontId="4" fillId="0" borderId="39" xfId="0" applyFont="1" applyBorder="1" applyAlignment="1">
      <alignment vertical="center" wrapText="1"/>
    </xf>
    <xf numFmtId="0" fontId="38" fillId="0" borderId="40" xfId="0" applyFont="1" applyBorder="1" applyAlignment="1">
      <alignment horizontal="center" vertical="center" wrapText="1"/>
    </xf>
    <xf numFmtId="0" fontId="39" fillId="0" borderId="10" xfId="0" applyFont="1" applyBorder="1" applyAlignment="1">
      <alignment horizontal="center" vertical="center" wrapText="1"/>
    </xf>
    <xf numFmtId="0" fontId="4" fillId="0" borderId="41" xfId="0" applyFont="1" applyBorder="1" applyAlignment="1">
      <alignment horizontal="center" vertical="center" wrapText="1"/>
    </xf>
    <xf numFmtId="0" fontId="28" fillId="0" borderId="25" xfId="0" applyFont="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0" fontId="4" fillId="0" borderId="0" xfId="0" applyFont="1" applyBorder="1" applyAlignment="1" applyProtection="1">
      <alignment vertical="center" wrapText="1"/>
      <protection locked="0"/>
    </xf>
    <xf numFmtId="0" fontId="8" fillId="0" borderId="9" xfId="0" applyFont="1" applyBorder="1" applyAlignment="1" applyProtection="1">
      <alignment horizontal="center" vertical="center" wrapText="1"/>
      <protection locked="0"/>
    </xf>
    <xf numFmtId="14" fontId="8" fillId="0" borderId="9" xfId="0" applyNumberFormat="1" applyFont="1" applyBorder="1" applyAlignment="1" applyProtection="1">
      <alignment horizontal="center" vertical="center" wrapText="1"/>
      <protection locked="0"/>
    </xf>
    <xf numFmtId="0" fontId="24" fillId="0" borderId="9" xfId="0" applyFont="1" applyBorder="1" applyAlignment="1" applyProtection="1">
      <alignment horizontal="center" vertical="center" wrapText="1"/>
      <protection locked="0"/>
    </xf>
    <xf numFmtId="0" fontId="23" fillId="0" borderId="41" xfId="0" applyFont="1" applyBorder="1" applyAlignment="1" applyProtection="1">
      <alignment horizontal="center" vertical="center" wrapText="1"/>
      <protection locked="0"/>
    </xf>
    <xf numFmtId="166" fontId="8" fillId="3" borderId="10" xfId="0" applyNumberFormat="1" applyFont="1" applyFill="1" applyBorder="1" applyAlignment="1" applyProtection="1">
      <alignment horizontal="center" vertical="center"/>
      <protection locked="0"/>
    </xf>
    <xf numFmtId="0" fontId="23" fillId="0" borderId="10" xfId="0" applyFont="1" applyBorder="1" applyAlignment="1" applyProtection="1">
      <alignment vertical="center"/>
      <protection locked="0"/>
    </xf>
    <xf numFmtId="0" fontId="23" fillId="0" borderId="12" xfId="0" applyFont="1" applyBorder="1" applyAlignment="1" applyProtection="1">
      <alignment vertical="center"/>
      <protection locked="0"/>
    </xf>
    <xf numFmtId="0" fontId="23" fillId="0" borderId="11" xfId="0" applyFont="1" applyBorder="1" applyAlignment="1" applyProtection="1">
      <alignment vertical="center"/>
      <protection locked="0"/>
    </xf>
    <xf numFmtId="0" fontId="40" fillId="0" borderId="10" xfId="0" applyFont="1" applyBorder="1" applyAlignment="1" applyProtection="1">
      <alignment horizontal="center" vertical="center"/>
      <protection locked="0"/>
    </xf>
    <xf numFmtId="166" fontId="40" fillId="0" borderId="10" xfId="0" applyNumberFormat="1" applyFont="1" applyBorder="1" applyAlignment="1" applyProtection="1">
      <alignment horizontal="center" vertical="center"/>
      <protection locked="0"/>
    </xf>
    <xf numFmtId="0" fontId="36" fillId="0" borderId="10" xfId="0" applyFont="1" applyBorder="1" applyAlignment="1" applyProtection="1">
      <alignment vertical="center"/>
      <protection locked="0"/>
    </xf>
    <xf numFmtId="166" fontId="40" fillId="0" borderId="10" xfId="0" applyNumberFormat="1" applyFont="1" applyFill="1" applyBorder="1" applyAlignment="1" applyProtection="1">
      <alignment horizontal="center" vertical="center"/>
      <protection locked="0"/>
    </xf>
    <xf numFmtId="0" fontId="7" fillId="0" borderId="10" xfId="0" applyFont="1" applyBorder="1" applyAlignment="1" applyProtection="1">
      <alignment vertical="center"/>
      <protection locked="0"/>
    </xf>
    <xf numFmtId="0" fontId="8" fillId="0" borderId="12" xfId="0" applyFont="1" applyBorder="1" applyAlignment="1" applyProtection="1">
      <alignment vertical="center"/>
      <protection locked="0"/>
    </xf>
    <xf numFmtId="0" fontId="0" fillId="0" borderId="18" xfId="0" applyBorder="1" applyAlignment="1" applyProtection="1">
      <alignment vertical="center"/>
      <protection locked="0"/>
    </xf>
    <xf numFmtId="0" fontId="38" fillId="3" borderId="10" xfId="0" applyFont="1" applyFill="1" applyBorder="1" applyAlignment="1" applyProtection="1">
      <alignment horizontal="center" vertical="center" wrapText="1"/>
      <protection locked="0"/>
    </xf>
    <xf numFmtId="0" fontId="41" fillId="0" borderId="0" xfId="0" applyFont="1" applyBorder="1" applyAlignment="1" applyProtection="1">
      <alignment horizontal="left" vertical="center"/>
      <protection locked="0"/>
    </xf>
    <xf numFmtId="0" fontId="41" fillId="0" borderId="0" xfId="0" applyFont="1" applyBorder="1" applyAlignment="1" applyProtection="1">
      <alignment horizontal="left" vertical="center" wrapText="1"/>
      <protection locked="0"/>
    </xf>
    <xf numFmtId="0" fontId="3" fillId="0" borderId="20" xfId="0" applyFont="1" applyBorder="1" applyAlignment="1">
      <alignment horizontal="center" vertical="center" wrapText="1"/>
    </xf>
    <xf numFmtId="0" fontId="3"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49" fontId="4" fillId="2" borderId="2" xfId="0"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4" fillId="3" borderId="44"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 xfId="0" applyFont="1" applyBorder="1" applyAlignment="1">
      <alignment horizontal="left" vertical="top" wrapText="1"/>
    </xf>
    <xf numFmtId="0" fontId="4" fillId="0" borderId="18" xfId="0" applyFont="1" applyBorder="1" applyAlignment="1">
      <alignment horizontal="left" vertical="top" wrapText="1"/>
    </xf>
    <xf numFmtId="0" fontId="8" fillId="0" borderId="20" xfId="0" applyFont="1" applyBorder="1" applyAlignment="1">
      <alignment horizontal="center" vertical="center" wrapText="1"/>
    </xf>
    <xf numFmtId="0" fontId="8" fillId="0" borderId="10" xfId="0" applyFont="1" applyBorder="1" applyAlignment="1">
      <alignment horizontal="justify" vertical="center" wrapText="1"/>
    </xf>
    <xf numFmtId="0" fontId="8" fillId="0" borderId="17" xfId="0" applyFont="1" applyBorder="1" applyAlignment="1">
      <alignment horizontal="justify" vertical="center" wrapText="1"/>
    </xf>
    <xf numFmtId="0" fontId="4" fillId="0" borderId="4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0"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6" xfId="0" applyFont="1" applyBorder="1" applyAlignment="1">
      <alignment horizontal="left" vertical="center" wrapText="1"/>
    </xf>
    <xf numFmtId="0" fontId="2" fillId="0" borderId="12"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14" xfId="0" applyFont="1" applyBorder="1" applyAlignment="1" applyProtection="1">
      <alignment horizontal="center" vertical="center" wrapText="1"/>
      <protection locked="0"/>
    </xf>
    <xf numFmtId="0" fontId="3" fillId="0" borderId="17"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4" fillId="0" borderId="15" xfId="0" applyFont="1" applyBorder="1" applyAlignment="1">
      <alignment horizontal="left" vertical="center" wrapText="1"/>
    </xf>
    <xf numFmtId="0" fontId="7" fillId="0" borderId="2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19" xfId="0" applyFont="1" applyBorder="1" applyAlignment="1">
      <alignment horizontal="center" vertical="center" wrapText="1"/>
    </xf>
    <xf numFmtId="0" fontId="3" fillId="0" borderId="0" xfId="0" applyFont="1" applyBorder="1" applyAlignment="1">
      <alignment horizontal="center" vertical="center"/>
    </xf>
    <xf numFmtId="0" fontId="1" fillId="0" borderId="0" xfId="0" applyFont="1" applyAlignment="1">
      <alignment horizontal="center" vertical="center" wrapText="1"/>
    </xf>
    <xf numFmtId="0" fontId="8" fillId="0" borderId="13"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4" fillId="0" borderId="0" xfId="0" applyFont="1" applyBorder="1" applyAlignment="1">
      <alignment horizontal="center" vertical="center" wrapText="1"/>
    </xf>
    <xf numFmtId="0" fontId="4" fillId="0" borderId="18" xfId="0" applyFont="1" applyBorder="1" applyAlignment="1">
      <alignment horizontal="center" vertical="center" wrapText="1"/>
    </xf>
    <xf numFmtId="0" fontId="2" fillId="0" borderId="10"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19" xfId="0" applyFont="1" applyBorder="1" applyAlignment="1">
      <alignment horizontal="center" vertical="center" wrapText="1"/>
    </xf>
    <xf numFmtId="0" fontId="8" fillId="0" borderId="14" xfId="0" applyFont="1" applyFill="1" applyBorder="1" applyAlignment="1" applyProtection="1">
      <alignment horizontal="center" vertical="center" wrapText="1"/>
      <protection locked="0"/>
    </xf>
    <xf numFmtId="0" fontId="8" fillId="0" borderId="46" xfId="0" applyFont="1" applyFill="1" applyBorder="1" applyAlignment="1" applyProtection="1">
      <alignment horizontal="center" vertical="center" wrapText="1"/>
      <protection locked="0"/>
    </xf>
    <xf numFmtId="0" fontId="8" fillId="3" borderId="47" xfId="0" applyFont="1" applyFill="1" applyBorder="1" applyAlignment="1" applyProtection="1">
      <alignment horizontal="center" vertical="center" wrapText="1"/>
      <protection locked="0"/>
    </xf>
    <xf numFmtId="0" fontId="8" fillId="3" borderId="46" xfId="0" applyFont="1" applyFill="1" applyBorder="1" applyAlignment="1" applyProtection="1">
      <alignment horizontal="center" vertical="center" wrapText="1"/>
      <protection locked="0"/>
    </xf>
    <xf numFmtId="0" fontId="8" fillId="0" borderId="47" xfId="0" applyFont="1" applyFill="1" applyBorder="1" applyAlignment="1" applyProtection="1">
      <alignment horizontal="center" vertical="center" wrapText="1"/>
      <protection locked="0"/>
    </xf>
    <xf numFmtId="0" fontId="5" fillId="0" borderId="48" xfId="0" applyFont="1" applyBorder="1" applyAlignment="1" applyProtection="1">
      <alignment horizontal="center" vertical="center" wrapText="1"/>
      <protection locked="0"/>
    </xf>
    <xf numFmtId="0" fontId="8" fillId="3" borderId="48" xfId="0" applyFont="1" applyFill="1" applyBorder="1" applyAlignment="1" applyProtection="1">
      <alignment horizontal="center" vertical="center" wrapText="1"/>
      <protection locked="0"/>
    </xf>
    <xf numFmtId="0" fontId="8" fillId="0" borderId="1" xfId="0" applyFont="1" applyBorder="1" applyAlignment="1" applyProtection="1">
      <alignment horizontal="center" vertical="center" wrapText="1"/>
      <protection locked="0"/>
    </xf>
    <xf numFmtId="0" fontId="4" fillId="0" borderId="15" xfId="0" applyFont="1" applyBorder="1" applyAlignment="1" applyProtection="1">
      <alignment horizontal="left" vertical="center" wrapText="1"/>
      <protection locked="0"/>
    </xf>
    <xf numFmtId="0" fontId="23" fillId="0" borderId="1" xfId="0" applyFont="1" applyFill="1" applyBorder="1" applyAlignment="1" applyProtection="1">
      <alignment horizontal="center" vertical="center" wrapText="1"/>
      <protection locked="0"/>
    </xf>
    <xf numFmtId="0" fontId="23" fillId="0" borderId="16" xfId="0" applyFont="1" applyFill="1" applyBorder="1" applyAlignment="1" applyProtection="1">
      <alignment horizontal="center" vertical="center" wrapText="1"/>
      <protection locked="0"/>
    </xf>
    <xf numFmtId="0" fontId="23" fillId="0" borderId="26" xfId="0" applyFont="1" applyFill="1" applyBorder="1" applyAlignment="1" applyProtection="1">
      <alignment horizontal="center" vertical="center" wrapText="1"/>
      <protection locked="0"/>
    </xf>
    <xf numFmtId="0" fontId="23" fillId="0" borderId="19" xfId="0" applyFont="1" applyFill="1" applyBorder="1" applyAlignment="1" applyProtection="1">
      <alignment horizontal="center" vertical="center" wrapText="1"/>
      <protection locked="0"/>
    </xf>
    <xf numFmtId="0" fontId="8" fillId="0" borderId="49" xfId="0" applyFont="1" applyFill="1" applyBorder="1" applyAlignment="1" applyProtection="1">
      <alignment horizontal="center" vertical="center" wrapText="1"/>
      <protection locked="0"/>
    </xf>
    <xf numFmtId="0" fontId="8" fillId="0" borderId="50" xfId="0" applyFont="1" applyFill="1" applyBorder="1" applyAlignment="1" applyProtection="1">
      <alignment horizontal="center" vertical="center" wrapText="1"/>
      <protection locked="0"/>
    </xf>
    <xf numFmtId="0" fontId="23" fillId="0" borderId="22" xfId="0" applyFont="1" applyFill="1" applyBorder="1" applyAlignment="1" applyProtection="1">
      <alignment horizontal="center" vertical="center" wrapText="1"/>
      <protection locked="0"/>
    </xf>
    <xf numFmtId="0" fontId="23" fillId="0" borderId="23" xfId="0" applyFont="1" applyFill="1" applyBorder="1" applyAlignment="1" applyProtection="1">
      <alignment horizontal="center" vertical="center" wrapText="1"/>
      <protection locked="0"/>
    </xf>
    <xf numFmtId="0" fontId="8" fillId="3" borderId="51" xfId="0" applyFont="1" applyFill="1" applyBorder="1" applyAlignment="1" applyProtection="1">
      <alignment horizontal="center" vertical="center" wrapText="1"/>
      <protection locked="0"/>
    </xf>
    <xf numFmtId="0" fontId="8" fillId="3" borderId="50" xfId="0" applyFont="1" applyFill="1" applyBorder="1" applyAlignment="1" applyProtection="1">
      <alignment horizontal="center" vertical="center" wrapText="1"/>
      <protection locked="0"/>
    </xf>
    <xf numFmtId="0" fontId="4" fillId="2" borderId="2" xfId="0" applyFont="1" applyFill="1" applyBorder="1" applyAlignment="1">
      <alignment horizontal="left" vertical="center" wrapText="1"/>
    </xf>
    <xf numFmtId="0" fontId="23" fillId="0" borderId="12"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wrapText="1"/>
      <protection locked="0"/>
    </xf>
    <xf numFmtId="0" fontId="23" fillId="0" borderId="11" xfId="0" applyFont="1" applyBorder="1" applyAlignment="1" applyProtection="1">
      <alignment horizontal="center" vertical="center" wrapText="1"/>
      <protection locked="0"/>
    </xf>
    <xf numFmtId="0" fontId="23" fillId="0" borderId="40"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0" borderId="52" xfId="0" applyFont="1" applyBorder="1" applyAlignment="1" applyProtection="1">
      <alignment horizontal="center" vertical="center" wrapText="1"/>
      <protection locked="0"/>
    </xf>
    <xf numFmtId="0" fontId="23" fillId="3" borderId="48" xfId="0" applyFont="1" applyFill="1" applyBorder="1" applyAlignment="1" applyProtection="1">
      <alignment horizontal="justify" vertical="center" wrapText="1"/>
      <protection locked="0"/>
    </xf>
    <xf numFmtId="0" fontId="1" fillId="3" borderId="3"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42" fillId="2" borderId="2" xfId="0" applyFont="1" applyFill="1" applyBorder="1" applyAlignment="1">
      <alignment horizontal="left" vertical="center" wrapText="1"/>
    </xf>
    <xf numFmtId="0" fontId="3" fillId="0" borderId="2" xfId="0" applyFont="1" applyBorder="1" applyAlignment="1" applyProtection="1">
      <alignment vertical="center" wrapText="1"/>
      <protection locked="0"/>
    </xf>
    <xf numFmtId="0" fontId="4" fillId="0" borderId="0"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23" fillId="0" borderId="10" xfId="0"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44" xfId="0" applyFont="1" applyBorder="1" applyAlignment="1" applyProtection="1">
      <alignment horizontal="center" vertical="center" wrapText="1"/>
      <protection locked="0"/>
    </xf>
    <xf numFmtId="0" fontId="23" fillId="0" borderId="9" xfId="0" applyFont="1" applyBorder="1" applyAlignment="1" applyProtection="1">
      <alignment horizontal="center" vertical="center" wrapText="1"/>
      <protection locked="0"/>
    </xf>
    <xf numFmtId="0" fontId="23" fillId="0" borderId="25" xfId="0" applyFont="1" applyFill="1" applyBorder="1" applyAlignment="1" applyProtection="1">
      <alignment horizontal="center" vertical="center" wrapText="1"/>
      <protection locked="0"/>
    </xf>
    <xf numFmtId="0" fontId="23" fillId="0" borderId="44"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8" fillId="0" borderId="19" xfId="0" applyFont="1" applyBorder="1" applyAlignment="1" applyProtection="1">
      <alignment horizontal="center" vertical="center" wrapText="1"/>
      <protection locked="0"/>
    </xf>
    <xf numFmtId="0" fontId="28" fillId="0" borderId="11" xfId="0" applyFont="1" applyBorder="1" applyAlignment="1" applyProtection="1">
      <alignment horizontal="center" vertical="center" wrapText="1"/>
      <protection locked="0"/>
    </xf>
    <xf numFmtId="0" fontId="7" fillId="0" borderId="0" xfId="0" applyFont="1" applyBorder="1" applyAlignment="1" applyProtection="1">
      <alignment vertical="center" wrapText="1"/>
      <protection locked="0"/>
    </xf>
    <xf numFmtId="0" fontId="23" fillId="0" borderId="23" xfId="0" applyFont="1" applyBorder="1" applyAlignment="1" applyProtection="1">
      <alignment horizontal="center" vertical="center" wrapText="1"/>
      <protection locked="0"/>
    </xf>
    <xf numFmtId="2" fontId="8" fillId="3" borderId="12" xfId="0" applyNumberFormat="1" applyFont="1" applyFill="1" applyBorder="1" applyAlignment="1" applyProtection="1">
      <alignment horizontal="center" vertical="center" wrapText="1"/>
    </xf>
    <xf numFmtId="2" fontId="8" fillId="3" borderId="11" xfId="0" applyNumberFormat="1" applyFont="1" applyFill="1" applyBorder="1" applyAlignment="1" applyProtection="1">
      <alignment horizontal="center" vertical="center" wrapText="1"/>
    </xf>
    <xf numFmtId="0" fontId="24" fillId="0" borderId="48" xfId="0" applyFont="1" applyBorder="1" applyAlignment="1" applyProtection="1">
      <alignment horizontal="justify" vertical="top" wrapText="1"/>
      <protection locked="0"/>
    </xf>
    <xf numFmtId="0" fontId="8" fillId="0" borderId="53" xfId="0" applyFont="1" applyBorder="1" applyAlignment="1" applyProtection="1">
      <alignment horizontal="justify" vertical="center" wrapText="1"/>
      <protection locked="0"/>
    </xf>
    <xf numFmtId="0" fontId="8" fillId="0" borderId="48" xfId="0" applyFont="1" applyBorder="1" applyAlignment="1" applyProtection="1">
      <alignment horizontal="justify" vertical="center" wrapText="1"/>
      <protection locked="0"/>
    </xf>
    <xf numFmtId="0" fontId="8" fillId="0" borderId="54" xfId="0" applyFont="1" applyBorder="1" applyAlignment="1" applyProtection="1">
      <alignment horizontal="justify" vertical="center" wrapText="1"/>
      <protection locked="0"/>
    </xf>
    <xf numFmtId="0" fontId="8" fillId="0" borderId="51" xfId="0" applyFont="1" applyFill="1" applyBorder="1" applyAlignment="1" applyProtection="1">
      <alignment horizontal="center" vertical="center" wrapText="1"/>
      <protection locked="0"/>
    </xf>
    <xf numFmtId="0" fontId="29" fillId="0" borderId="22"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1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19" xfId="0" applyFont="1" applyBorder="1" applyAlignment="1">
      <alignment horizontal="center" vertical="center" wrapText="1"/>
    </xf>
    <xf numFmtId="2" fontId="8" fillId="3" borderId="23" xfId="0" applyNumberFormat="1" applyFont="1" applyFill="1" applyBorder="1" applyAlignment="1" applyProtection="1">
      <alignment horizontal="center" vertical="center" wrapText="1"/>
    </xf>
    <xf numFmtId="2" fontId="8" fillId="3" borderId="19" xfId="0" applyNumberFormat="1" applyFont="1" applyFill="1" applyBorder="1" applyAlignment="1" applyProtection="1">
      <alignment horizontal="center" vertical="center" wrapText="1"/>
    </xf>
    <xf numFmtId="0" fontId="23" fillId="0" borderId="12" xfId="0" applyFont="1" applyFill="1" applyBorder="1" applyAlignment="1" applyProtection="1">
      <alignment horizontal="center" vertical="center" wrapText="1"/>
      <protection locked="0"/>
    </xf>
    <xf numFmtId="0" fontId="23" fillId="0" borderId="11" xfId="0" applyFont="1" applyFill="1" applyBorder="1" applyAlignment="1" applyProtection="1">
      <alignment horizontal="center" vertical="center" wrapText="1"/>
      <protection locked="0"/>
    </xf>
    <xf numFmtId="0" fontId="23" fillId="0" borderId="55" xfId="0" applyFont="1" applyBorder="1" applyAlignment="1" applyProtection="1">
      <alignment horizontal="center" vertical="center" wrapText="1"/>
      <protection locked="0"/>
    </xf>
    <xf numFmtId="0" fontId="23" fillId="3" borderId="18" xfId="0" applyFont="1" applyFill="1" applyBorder="1" applyAlignment="1" applyProtection="1">
      <alignment horizontal="center" vertical="center" wrapText="1"/>
      <protection locked="0"/>
    </xf>
    <xf numFmtId="0" fontId="23" fillId="3" borderId="56" xfId="0" applyFont="1" applyFill="1" applyBorder="1" applyAlignment="1" applyProtection="1">
      <alignment horizontal="center" vertical="center" wrapText="1"/>
      <protection locked="0"/>
    </xf>
    <xf numFmtId="0" fontId="23" fillId="3" borderId="2" xfId="0" applyFont="1" applyFill="1" applyBorder="1" applyAlignment="1" applyProtection="1">
      <alignment horizontal="center" vertical="center" wrapText="1"/>
      <protection locked="0"/>
    </xf>
    <xf numFmtId="0" fontId="23" fillId="3" borderId="32" xfId="0" applyFont="1" applyFill="1" applyBorder="1" applyAlignment="1" applyProtection="1">
      <alignment horizontal="center" vertical="center" wrapText="1"/>
      <protection locked="0"/>
    </xf>
    <xf numFmtId="0" fontId="4" fillId="2" borderId="48" xfId="0" applyFont="1" applyFill="1" applyBorder="1" applyAlignment="1">
      <alignment horizontal="left" vertical="center" wrapText="1"/>
    </xf>
    <xf numFmtId="0" fontId="23" fillId="0" borderId="42" xfId="0" applyFont="1" applyBorder="1" applyAlignment="1" applyProtection="1">
      <alignment horizontal="center" vertical="center" wrapText="1"/>
      <protection locked="0"/>
    </xf>
    <xf numFmtId="0" fontId="23" fillId="0" borderId="57" xfId="0" applyFont="1" applyBorder="1" applyAlignment="1" applyProtection="1">
      <alignment horizontal="center" vertical="center" wrapText="1"/>
      <protection locked="0"/>
    </xf>
    <xf numFmtId="0" fontId="23" fillId="0" borderId="58" xfId="0" applyFont="1" applyBorder="1" applyAlignment="1" applyProtection="1">
      <alignment horizontal="center" vertical="center" wrapText="1"/>
      <protection locked="0"/>
    </xf>
    <xf numFmtId="0" fontId="23" fillId="0" borderId="59" xfId="0" applyFont="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xf>
    <xf numFmtId="0" fontId="7" fillId="0" borderId="3"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8" fillId="0" borderId="10" xfId="0" applyFont="1" applyFill="1" applyBorder="1" applyAlignment="1" applyProtection="1">
      <alignment horizontal="center" vertical="center" wrapText="1"/>
      <protection locked="0"/>
    </xf>
    <xf numFmtId="0" fontId="23" fillId="0" borderId="60" xfId="0" applyFont="1" applyBorder="1" applyAlignment="1" applyProtection="1">
      <alignment horizontal="center" vertical="center" wrapText="1"/>
      <protection locked="0"/>
    </xf>
    <xf numFmtId="0" fontId="23" fillId="0" borderId="61" xfId="0" applyFont="1" applyBorder="1" applyAlignment="1" applyProtection="1">
      <alignment horizontal="center" vertical="center" wrapText="1"/>
      <protection locked="0"/>
    </xf>
    <xf numFmtId="0" fontId="8" fillId="0" borderId="10" xfId="0" applyFont="1" applyBorder="1" applyAlignment="1" applyProtection="1">
      <alignment horizontal="center" vertical="center" wrapText="1"/>
      <protection locked="0"/>
    </xf>
    <xf numFmtId="0" fontId="4" fillId="0" borderId="26" xfId="0" applyFont="1" applyBorder="1" applyAlignment="1" applyProtection="1">
      <alignment horizontal="left" vertical="center" wrapText="1"/>
      <protection locked="0"/>
    </xf>
    <xf numFmtId="0" fontId="28" fillId="3" borderId="42" xfId="0" applyFont="1" applyFill="1" applyBorder="1" applyAlignment="1" applyProtection="1">
      <alignment horizontal="center" vertical="center" wrapText="1"/>
      <protection locked="0"/>
    </xf>
    <xf numFmtId="0" fontId="28" fillId="3" borderId="24" xfId="0" applyFont="1" applyFill="1" applyBorder="1" applyAlignment="1" applyProtection="1">
      <alignment horizontal="center" vertical="center" wrapText="1"/>
      <protection locked="0"/>
    </xf>
    <xf numFmtId="0" fontId="7" fillId="0" borderId="24" xfId="0" applyFont="1" applyBorder="1" applyAlignment="1" applyProtection="1">
      <alignment horizontal="center" vertical="center" wrapText="1"/>
      <protection locked="0"/>
    </xf>
    <xf numFmtId="167" fontId="8" fillId="0" borderId="10" xfId="0" applyNumberFormat="1" applyFont="1" applyBorder="1" applyAlignment="1" applyProtection="1">
      <alignment horizontal="center" vertical="center" wrapText="1"/>
      <protection locked="0"/>
    </xf>
    <xf numFmtId="0" fontId="23" fillId="0" borderId="17" xfId="0" applyFont="1" applyBorder="1" applyAlignment="1">
      <alignment horizontal="center" vertical="center" wrapText="1"/>
    </xf>
    <xf numFmtId="0" fontId="23"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18" xfId="0" applyFont="1" applyBorder="1" applyAlignment="1" applyProtection="1">
      <alignment horizontal="left" vertical="center" wrapText="1"/>
      <protection locked="0"/>
    </xf>
    <xf numFmtId="0" fontId="24" fillId="0" borderId="2" xfId="0" applyFont="1" applyBorder="1" applyAlignment="1" applyProtection="1">
      <alignment horizontal="left" vertical="center" wrapText="1"/>
      <protection locked="0"/>
    </xf>
    <xf numFmtId="0" fontId="0" fillId="0" borderId="22"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23" fillId="0" borderId="62" xfId="0" applyFont="1" applyBorder="1" applyAlignment="1" applyProtection="1">
      <alignment horizontal="center" vertical="center" wrapText="1"/>
      <protection locked="0"/>
    </xf>
    <xf numFmtId="0" fontId="23" fillId="0" borderId="63" xfId="0" applyFont="1" applyBorder="1" applyAlignment="1" applyProtection="1">
      <alignment horizontal="center" vertical="center" wrapText="1"/>
      <protection locked="0"/>
    </xf>
    <xf numFmtId="0" fontId="7" fillId="0" borderId="12" xfId="0" applyFont="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23" fillId="0" borderId="45" xfId="0" applyFont="1" applyBorder="1" applyAlignment="1" applyProtection="1">
      <alignment horizontal="center" vertical="center" wrapText="1"/>
      <protection locked="0"/>
    </xf>
    <xf numFmtId="0" fontId="23" fillId="0" borderId="3" xfId="0" applyFont="1" applyBorder="1" applyAlignment="1" applyProtection="1">
      <alignment horizontal="center" vertical="center" wrapText="1"/>
      <protection locked="0"/>
    </xf>
    <xf numFmtId="0" fontId="23" fillId="0" borderId="30" xfId="0" applyFont="1" applyBorder="1" applyAlignment="1" applyProtection="1">
      <alignment horizontal="center" vertical="center" wrapText="1"/>
      <protection locked="0"/>
    </xf>
    <xf numFmtId="0" fontId="23" fillId="0" borderId="26" xfId="0" applyFont="1" applyBorder="1" applyAlignment="1" applyProtection="1">
      <alignment horizontal="center" vertical="center" wrapText="1"/>
      <protection locked="0"/>
    </xf>
    <xf numFmtId="0" fontId="23" fillId="0" borderId="19" xfId="0" applyFont="1" applyBorder="1" applyAlignment="1" applyProtection="1">
      <alignment horizontal="center" vertical="center" wrapText="1"/>
      <protection locked="0"/>
    </xf>
    <xf numFmtId="0" fontId="23" fillId="0" borderId="64" xfId="0" applyFont="1" applyBorder="1" applyAlignment="1" applyProtection="1">
      <alignment horizontal="center" vertical="center" wrapText="1"/>
      <protection locked="0"/>
    </xf>
    <xf numFmtId="0" fontId="23" fillId="0" borderId="18" xfId="0" applyFont="1" applyBorder="1" applyAlignment="1" applyProtection="1">
      <alignment horizontal="center" vertical="center" wrapText="1"/>
      <protection locked="0"/>
    </xf>
    <xf numFmtId="0" fontId="23" fillId="0" borderId="56" xfId="0" applyFont="1" applyBorder="1" applyAlignment="1" applyProtection="1">
      <alignment horizontal="center" vertical="center" wrapText="1"/>
      <protection locked="0"/>
    </xf>
    <xf numFmtId="0" fontId="23" fillId="0" borderId="39"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wrapText="1"/>
      <protection locked="0"/>
    </xf>
    <xf numFmtId="0" fontId="23" fillId="0" borderId="32" xfId="0" applyFont="1" applyBorder="1" applyAlignment="1" applyProtection="1">
      <alignment horizontal="center" vertical="center" wrapText="1"/>
      <protection locked="0"/>
    </xf>
    <xf numFmtId="0" fontId="23" fillId="3" borderId="23" xfId="0" applyFont="1" applyFill="1" applyBorder="1" applyAlignment="1" applyProtection="1">
      <alignment horizontal="center" vertical="center" wrapText="1"/>
      <protection locked="0"/>
    </xf>
    <xf numFmtId="0" fontId="23" fillId="3" borderId="26" xfId="0" applyFont="1" applyFill="1" applyBorder="1" applyAlignment="1" applyProtection="1">
      <alignment horizontal="center" vertical="center" wrapText="1"/>
      <protection locked="0"/>
    </xf>
    <xf numFmtId="0" fontId="23" fillId="3" borderId="19" xfId="0" applyFont="1" applyFill="1" applyBorder="1" applyAlignment="1" applyProtection="1">
      <alignment horizontal="center" vertical="center" wrapText="1"/>
      <protection locked="0"/>
    </xf>
    <xf numFmtId="166" fontId="8" fillId="0" borderId="10" xfId="0" applyNumberFormat="1" applyFont="1" applyFill="1" applyBorder="1" applyAlignment="1" applyProtection="1">
      <alignment horizontal="center" vertical="center" wrapText="1"/>
      <protection locked="0"/>
    </xf>
    <xf numFmtId="166" fontId="8" fillId="0" borderId="12" xfId="0" applyNumberFormat="1" applyFont="1" applyFill="1" applyBorder="1" applyAlignment="1" applyProtection="1">
      <alignment horizontal="center" vertical="center" wrapText="1"/>
      <protection locked="0"/>
    </xf>
    <xf numFmtId="166" fontId="8" fillId="0" borderId="11" xfId="0" applyNumberFormat="1" applyFont="1" applyFill="1" applyBorder="1" applyAlignment="1" applyProtection="1">
      <alignment horizontal="center" vertical="center" wrapText="1"/>
      <protection locked="0"/>
    </xf>
    <xf numFmtId="166" fontId="2" fillId="0" borderId="10"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166" fontId="8" fillId="0" borderId="12" xfId="0" applyNumberFormat="1" applyFont="1" applyBorder="1" applyAlignment="1" applyProtection="1">
      <alignment horizontal="center" vertical="center" wrapText="1"/>
      <protection locked="0"/>
    </xf>
    <xf numFmtId="166" fontId="8" fillId="0" borderId="11" xfId="0" applyNumberFormat="1" applyFont="1" applyBorder="1" applyAlignment="1" applyProtection="1">
      <alignment horizontal="center" vertical="center" wrapText="1"/>
      <protection locked="0"/>
    </xf>
    <xf numFmtId="0" fontId="8" fillId="0" borderId="10" xfId="0" applyFont="1" applyBorder="1" applyAlignment="1">
      <alignment horizontal="center" wrapText="1"/>
    </xf>
    <xf numFmtId="0" fontId="24" fillId="0" borderId="1" xfId="0" applyFont="1" applyBorder="1" applyAlignment="1" applyProtection="1">
      <alignment horizontal="justify" vertical="center" wrapText="1"/>
      <protection locked="0"/>
    </xf>
    <xf numFmtId="0" fontId="24" fillId="0" borderId="2" xfId="0" applyFont="1" applyBorder="1" applyAlignment="1" applyProtection="1">
      <alignment horizontal="justify" vertical="center" wrapText="1"/>
      <protection locked="0"/>
    </xf>
    <xf numFmtId="0" fontId="8" fillId="0" borderId="0" xfId="0" applyFont="1" applyBorder="1" applyAlignment="1" applyProtection="1">
      <alignment horizontal="center" vertical="center" wrapText="1"/>
      <protection locked="0"/>
    </xf>
    <xf numFmtId="0" fontId="2" fillId="0" borderId="52"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166" fontId="8" fillId="0" borderId="27" xfId="0" applyNumberFormat="1" applyFont="1" applyFill="1" applyBorder="1" applyAlignment="1" applyProtection="1">
      <alignment horizontal="center" vertical="center" wrapText="1"/>
      <protection locked="0"/>
    </xf>
    <xf numFmtId="0" fontId="8" fillId="0" borderId="48" xfId="0" applyFont="1" applyBorder="1" applyAlignment="1">
      <alignment horizontal="justify" vertical="center"/>
    </xf>
    <xf numFmtId="0" fontId="4" fillId="0" borderId="15" xfId="0" applyFont="1" applyBorder="1" applyAlignment="1">
      <alignment horizontal="left"/>
    </xf>
    <xf numFmtId="0" fontId="38" fillId="0" borderId="40" xfId="0" applyFont="1" applyBorder="1" applyAlignment="1">
      <alignment horizontal="center" vertical="center" wrapText="1"/>
    </xf>
    <xf numFmtId="0" fontId="38" fillId="0" borderId="65" xfId="0" applyFont="1" applyBorder="1" applyAlignment="1">
      <alignment horizontal="center" vertical="center" wrapText="1"/>
    </xf>
    <xf numFmtId="0" fontId="24" fillId="0" borderId="48" xfId="0" applyFont="1" applyBorder="1" applyAlignment="1">
      <alignment horizontal="left" vertical="top" wrapText="1"/>
    </xf>
    <xf numFmtId="0" fontId="24" fillId="0" borderId="48" xfId="0" applyFont="1" applyBorder="1" applyAlignment="1">
      <alignment horizontal="left" vertical="top"/>
    </xf>
    <xf numFmtId="0" fontId="0" fillId="0" borderId="10" xfId="0" applyBorder="1" applyAlignment="1" applyProtection="1">
      <alignment horizontal="center" vertical="center"/>
      <protection locked="0"/>
    </xf>
    <xf numFmtId="0" fontId="23" fillId="0" borderId="10" xfId="0" applyFont="1" applyBorder="1" applyAlignment="1">
      <alignment horizontal="center" vertical="center" wrapText="1"/>
    </xf>
    <xf numFmtId="0" fontId="4" fillId="2" borderId="48" xfId="0" applyFont="1" applyFill="1" applyBorder="1" applyAlignment="1">
      <alignment horizontal="left" vertical="center"/>
    </xf>
    <xf numFmtId="0" fontId="4" fillId="0" borderId="0" xfId="0" applyFont="1" applyBorder="1" applyAlignment="1">
      <alignment horizontal="left"/>
    </xf>
    <xf numFmtId="0" fontId="0" fillId="0" borderId="10" xfId="0" applyBorder="1" applyAlignment="1">
      <alignment horizontal="center"/>
    </xf>
    <xf numFmtId="0" fontId="7" fillId="0" borderId="10" xfId="0" applyFont="1" applyBorder="1" applyAlignment="1" applyProtection="1">
      <alignment horizontal="center" vertical="center" wrapText="1"/>
      <protection locked="0"/>
    </xf>
    <xf numFmtId="0" fontId="4" fillId="2" borderId="48" xfId="0" applyFont="1" applyFill="1" applyBorder="1" applyAlignment="1">
      <alignment horizontal="center" vertical="center"/>
    </xf>
    <xf numFmtId="0" fontId="23" fillId="3" borderId="9" xfId="0" applyFont="1" applyFill="1" applyBorder="1" applyAlignment="1" applyProtection="1">
      <alignment horizontal="center" vertical="center" wrapText="1"/>
      <protection locked="0"/>
    </xf>
    <xf numFmtId="0" fontId="23" fillId="0" borderId="42"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24" xfId="0" applyFont="1" applyBorder="1" applyAlignment="1">
      <alignment horizontal="center" vertical="center" wrapText="1"/>
    </xf>
    <xf numFmtId="0" fontId="27" fillId="0" borderId="10" xfId="0" applyFont="1" applyBorder="1" applyAlignment="1">
      <alignment horizontal="center" vertical="center" wrapText="1"/>
    </xf>
    <xf numFmtId="0" fontId="2" fillId="3" borderId="48" xfId="0" applyFont="1" applyFill="1" applyBorder="1" applyAlignment="1">
      <alignment horizontal="justify" vertical="center"/>
    </xf>
    <xf numFmtId="0" fontId="8" fillId="3" borderId="48" xfId="0" applyFont="1" applyFill="1" applyBorder="1" applyAlignment="1">
      <alignment horizontal="justify" vertical="center"/>
    </xf>
    <xf numFmtId="166" fontId="8" fillId="0" borderId="12" xfId="0" applyNumberFormat="1" applyFont="1" applyBorder="1" applyAlignment="1" applyProtection="1">
      <alignment horizontal="center" vertical="center"/>
      <protection locked="0"/>
    </xf>
    <xf numFmtId="166" fontId="8" fillId="0" borderId="11" xfId="0" applyNumberFormat="1" applyFont="1" applyBorder="1" applyAlignment="1" applyProtection="1">
      <alignment horizontal="center" vertical="center"/>
      <protection locked="0"/>
    </xf>
    <xf numFmtId="0" fontId="23" fillId="0" borderId="28"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0" fontId="2" fillId="0" borderId="66" xfId="0" applyFont="1" applyBorder="1" applyAlignment="1" applyProtection="1">
      <alignment horizontal="center" vertical="center"/>
      <protection locked="0"/>
    </xf>
    <xf numFmtId="0" fontId="2" fillId="0" borderId="29" xfId="0" applyFont="1" applyBorder="1" applyAlignment="1" applyProtection="1">
      <alignment horizontal="center" vertical="center"/>
      <protection locked="0"/>
    </xf>
    <xf numFmtId="0" fontId="8" fillId="3" borderId="10" xfId="0" applyFont="1" applyFill="1" applyBorder="1" applyAlignment="1" applyProtection="1">
      <alignment horizontal="center" vertical="center" wrapText="1"/>
      <protection locked="0"/>
    </xf>
    <xf numFmtId="0" fontId="23" fillId="0" borderId="10" xfId="0" applyFont="1" applyFill="1" applyBorder="1" applyAlignment="1" applyProtection="1">
      <alignment horizontal="center" vertical="center" wrapText="1"/>
      <protection locked="0"/>
    </xf>
    <xf numFmtId="0" fontId="7" fillId="0" borderId="0" xfId="0" applyFont="1" applyBorder="1" applyAlignment="1" applyProtection="1">
      <alignment horizontal="left" vertical="center" wrapText="1"/>
      <protection locked="0"/>
    </xf>
    <xf numFmtId="0" fontId="23" fillId="0" borderId="40" xfId="0" applyFont="1" applyFill="1" applyBorder="1" applyAlignment="1" applyProtection="1">
      <alignment horizontal="center" vertical="center" wrapText="1"/>
      <protection locked="0"/>
    </xf>
    <xf numFmtId="0" fontId="23" fillId="0" borderId="15" xfId="0" applyFont="1" applyFill="1" applyBorder="1" applyAlignment="1" applyProtection="1">
      <alignment horizontal="center" vertical="center" wrapText="1"/>
      <protection locked="0"/>
    </xf>
    <xf numFmtId="0" fontId="23" fillId="0" borderId="52" xfId="0" applyFont="1" applyFill="1" applyBorder="1" applyAlignment="1" applyProtection="1">
      <alignment horizontal="center" vertical="center" wrapText="1"/>
      <protection locked="0"/>
    </xf>
    <xf numFmtId="0" fontId="4" fillId="0" borderId="10" xfId="0" applyFont="1" applyBorder="1" applyAlignment="1" applyProtection="1">
      <alignment horizontal="left" vertical="center"/>
      <protection locked="0"/>
    </xf>
    <xf numFmtId="0" fontId="8" fillId="0" borderId="3" xfId="0" applyFont="1" applyBorder="1" applyAlignment="1" applyProtection="1">
      <alignment horizontal="justify" vertical="center" wrapText="1"/>
      <protection locked="0"/>
    </xf>
    <xf numFmtId="0" fontId="8" fillId="0" borderId="18" xfId="0" applyFont="1" applyBorder="1" applyAlignment="1" applyProtection="1">
      <alignment horizontal="justify" vertical="center" wrapText="1"/>
      <protection locked="0"/>
    </xf>
    <xf numFmtId="0" fontId="23" fillId="3" borderId="40" xfId="0" applyFont="1" applyFill="1" applyBorder="1" applyAlignment="1" applyProtection="1">
      <alignment horizontal="center" vertical="center" wrapText="1"/>
      <protection locked="0"/>
    </xf>
    <xf numFmtId="0" fontId="23" fillId="3" borderId="15" xfId="0" applyFont="1" applyFill="1" applyBorder="1" applyAlignment="1" applyProtection="1">
      <alignment horizontal="center" vertical="center" wrapText="1"/>
      <protection locked="0"/>
    </xf>
    <xf numFmtId="0" fontId="38" fillId="3" borderId="10" xfId="0" applyFont="1" applyFill="1" applyBorder="1" applyAlignment="1" applyProtection="1">
      <alignment horizontal="center" vertical="center" wrapText="1"/>
      <protection locked="0"/>
    </xf>
    <xf numFmtId="0" fontId="23" fillId="3" borderId="10" xfId="0" applyFont="1" applyFill="1" applyBorder="1" applyAlignment="1" applyProtection="1">
      <alignment horizontal="center" vertical="center" wrapText="1"/>
      <protection locked="0"/>
    </xf>
    <xf numFmtId="166" fontId="8" fillId="0" borderId="10" xfId="0" applyNumberFormat="1" applyFont="1" applyBorder="1" applyAlignment="1" applyProtection="1">
      <alignment horizontal="center" vertical="center"/>
      <protection locked="0"/>
    </xf>
    <xf numFmtId="0" fontId="2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protection locked="0"/>
    </xf>
    <xf numFmtId="166" fontId="8" fillId="3" borderId="12" xfId="0" applyNumberFormat="1" applyFont="1" applyFill="1" applyBorder="1" applyAlignment="1" applyProtection="1">
      <alignment horizontal="center" vertical="center"/>
    </xf>
    <xf numFmtId="166" fontId="8" fillId="3" borderId="11" xfId="0" applyNumberFormat="1" applyFont="1" applyFill="1" applyBorder="1" applyAlignment="1" applyProtection="1">
      <alignment horizontal="center" vertical="center"/>
    </xf>
    <xf numFmtId="0" fontId="8" fillId="0" borderId="12" xfId="0" applyFont="1" applyBorder="1" applyAlignment="1" applyProtection="1">
      <alignment horizontal="center" vertical="center" wrapText="1"/>
      <protection locked="0"/>
    </xf>
    <xf numFmtId="0" fontId="8" fillId="0" borderId="27" xfId="0" applyFont="1" applyBorder="1" applyAlignment="1" applyProtection="1">
      <alignment horizontal="center" vertical="center" wrapText="1"/>
      <protection locked="0"/>
    </xf>
    <xf numFmtId="0" fontId="38" fillId="3" borderId="12" xfId="0" applyFont="1" applyFill="1" applyBorder="1" applyAlignment="1" applyProtection="1">
      <alignment horizontal="center" vertical="center"/>
      <protection locked="0"/>
    </xf>
    <xf numFmtId="0" fontId="38" fillId="3" borderId="11" xfId="0" applyFont="1" applyFill="1" applyBorder="1" applyAlignment="1" applyProtection="1">
      <alignment horizontal="center" vertical="center"/>
      <protection locked="0"/>
    </xf>
    <xf numFmtId="0" fontId="0" fillId="0" borderId="10" xfId="0" applyBorder="1" applyAlignment="1" applyProtection="1">
      <alignment horizontal="center" vertical="center" wrapText="1"/>
      <protection locked="0"/>
    </xf>
    <xf numFmtId="166" fontId="8" fillId="3" borderId="10" xfId="0" applyNumberFormat="1" applyFont="1" applyFill="1" applyBorder="1" applyAlignment="1" applyProtection="1">
      <alignment horizontal="center" vertical="center"/>
      <protection locked="0"/>
    </xf>
    <xf numFmtId="166" fontId="8" fillId="3" borderId="10" xfId="0" applyNumberFormat="1" applyFont="1" applyFill="1" applyBorder="1" applyAlignment="1" applyProtection="1">
      <alignment horizontal="center" vertical="center"/>
    </xf>
    <xf numFmtId="166" fontId="8" fillId="3" borderId="12" xfId="0" applyNumberFormat="1" applyFont="1" applyFill="1" applyBorder="1" applyAlignment="1" applyProtection="1">
      <alignment horizontal="center" vertical="center"/>
      <protection locked="0"/>
    </xf>
    <xf numFmtId="166" fontId="8" fillId="3" borderId="11" xfId="0" applyNumberFormat="1" applyFont="1" applyFill="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166" fontId="8" fillId="3" borderId="27" xfId="0" applyNumberFormat="1" applyFont="1" applyFill="1" applyBorder="1" applyAlignment="1" applyProtection="1">
      <alignment horizontal="center" vertical="center"/>
    </xf>
    <xf numFmtId="166" fontId="8" fillId="3" borderId="27" xfId="0" applyNumberFormat="1" applyFont="1" applyFill="1" applyBorder="1" applyAlignment="1" applyProtection="1">
      <alignment horizontal="center" vertical="center"/>
      <protection locked="0"/>
    </xf>
    <xf numFmtId="0" fontId="23" fillId="0" borderId="17"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protection locked="0"/>
    </xf>
    <xf numFmtId="0" fontId="23" fillId="0" borderId="22" xfId="0" applyFont="1" applyBorder="1" applyAlignment="1" applyProtection="1">
      <alignment horizontal="center" vertical="center" wrapText="1"/>
      <protection locked="0"/>
    </xf>
    <xf numFmtId="0" fontId="23" fillId="0" borderId="16" xfId="0" applyFont="1" applyBorder="1" applyAlignment="1" applyProtection="1">
      <alignment horizontal="center" vertical="center" wrapText="1"/>
      <protection locked="0"/>
    </xf>
    <xf numFmtId="0" fontId="23" fillId="3" borderId="22" xfId="0" applyFont="1" applyFill="1" applyBorder="1" applyAlignment="1" applyProtection="1">
      <alignment horizontal="center" vertical="center" wrapText="1"/>
      <protection locked="0"/>
    </xf>
    <xf numFmtId="0" fontId="23" fillId="3" borderId="16" xfId="0" applyFont="1" applyFill="1" applyBorder="1" applyAlignment="1" applyProtection="1">
      <alignment horizontal="center" vertical="center" wrapText="1"/>
      <protection locked="0"/>
    </xf>
    <xf numFmtId="0" fontId="4" fillId="0" borderId="18" xfId="0" applyFont="1" applyBorder="1" applyAlignment="1" applyProtection="1">
      <alignment horizontal="left" vertical="center"/>
      <protection locked="0"/>
    </xf>
    <xf numFmtId="0" fontId="8" fillId="0" borderId="10" xfId="0" applyFont="1" applyBorder="1" applyAlignment="1" applyProtection="1">
      <alignment horizontal="justify" vertical="center" wrapText="1"/>
      <protection locked="0"/>
    </xf>
    <xf numFmtId="0" fontId="7" fillId="0" borderId="10" xfId="0" applyFont="1" applyBorder="1" applyAlignment="1" applyProtection="1">
      <alignment horizontal="center" vertical="center"/>
      <protection locked="0"/>
    </xf>
    <xf numFmtId="0" fontId="7" fillId="0" borderId="3" xfId="0" applyFont="1" applyBorder="1" applyAlignment="1">
      <alignment horizontal="center"/>
    </xf>
    <xf numFmtId="0" fontId="23" fillId="0" borderId="45" xfId="0" applyFont="1" applyBorder="1" applyAlignment="1">
      <alignment horizontal="center" vertical="center"/>
    </xf>
    <xf numFmtId="0" fontId="23" fillId="0" borderId="30" xfId="0" applyFont="1" applyBorder="1" applyAlignment="1">
      <alignment horizontal="center" vertical="center"/>
    </xf>
    <xf numFmtId="0" fontId="23" fillId="0" borderId="3" xfId="0" applyFont="1" applyBorder="1" applyAlignment="1">
      <alignment horizontal="center" vertical="center"/>
    </xf>
    <xf numFmtId="0" fontId="8" fillId="0" borderId="12" xfId="0" applyFont="1" applyFill="1" applyBorder="1" applyAlignment="1" applyProtection="1">
      <alignment horizontal="center" vertical="center" wrapText="1"/>
      <protection locked="0"/>
    </xf>
    <xf numFmtId="0" fontId="8" fillId="0" borderId="27" xfId="0" applyFont="1" applyFill="1" applyBorder="1" applyAlignment="1" applyProtection="1">
      <alignment horizontal="center" vertical="center" wrapText="1"/>
      <protection locked="0"/>
    </xf>
    <xf numFmtId="0" fontId="8" fillId="0" borderId="11" xfId="0" applyFont="1" applyFill="1" applyBorder="1" applyAlignment="1" applyProtection="1">
      <alignment horizontal="center" vertical="center" wrapText="1"/>
      <protection locked="0"/>
    </xf>
    <xf numFmtId="0" fontId="23" fillId="0" borderId="45" xfId="0" applyFont="1" applyFill="1" applyBorder="1" applyAlignment="1" applyProtection="1">
      <alignment horizontal="center" vertical="center" wrapText="1"/>
      <protection locked="0"/>
    </xf>
    <xf numFmtId="0" fontId="23" fillId="0" borderId="3" xfId="0" applyFont="1" applyFill="1" applyBorder="1" applyAlignment="1" applyProtection="1">
      <alignment horizontal="center" vertical="center" wrapText="1"/>
      <protection locked="0"/>
    </xf>
    <xf numFmtId="0" fontId="23" fillId="0" borderId="67"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8" fillId="0" borderId="26"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23" fillId="0" borderId="29" xfId="0" applyFont="1" applyFill="1" applyBorder="1" applyAlignment="1" applyProtection="1">
      <alignment horizontal="center" vertical="center" wrapText="1"/>
      <protection locked="0"/>
    </xf>
    <xf numFmtId="0" fontId="23" fillId="0" borderId="30" xfId="0" applyFont="1" applyFill="1" applyBorder="1" applyAlignment="1" applyProtection="1">
      <alignment horizontal="center" vertical="center" wrapText="1"/>
      <protection locked="0"/>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0" borderId="11" xfId="0" applyFont="1" applyBorder="1" applyAlignment="1">
      <alignment horizontal="center" vertical="center"/>
    </xf>
    <xf numFmtId="0" fontId="8" fillId="0" borderId="10" xfId="0" applyFont="1" applyBorder="1" applyAlignment="1">
      <alignment horizontal="center"/>
    </xf>
    <xf numFmtId="0" fontId="23" fillId="0" borderId="12"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11" xfId="0" applyFont="1" applyBorder="1" applyAlignment="1">
      <alignment horizontal="center" vertical="center" wrapText="1"/>
    </xf>
    <xf numFmtId="0" fontId="2" fillId="0" borderId="23"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8" fillId="0" borderId="12" xfId="0" applyFont="1" applyBorder="1" applyAlignment="1">
      <alignment horizontal="center"/>
    </xf>
    <xf numFmtId="0" fontId="8" fillId="0" borderId="27" xfId="0" applyFont="1" applyBorder="1" applyAlignment="1">
      <alignment horizontal="center"/>
    </xf>
    <xf numFmtId="0" fontId="8" fillId="0" borderId="11" xfId="0" applyFont="1" applyBorder="1" applyAlignment="1">
      <alignment horizontal="center"/>
    </xf>
    <xf numFmtId="0" fontId="7" fillId="0" borderId="4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2" xfId="0" applyFont="1" applyBorder="1" applyAlignment="1">
      <alignment horizontal="center" vertical="center" wrapText="1"/>
    </xf>
    <xf numFmtId="0" fontId="4" fillId="0" borderId="28" xfId="0" applyFont="1" applyBorder="1" applyAlignment="1">
      <alignment horizontal="left"/>
    </xf>
    <xf numFmtId="0" fontId="4" fillId="0" borderId="66" xfId="0" applyFont="1" applyBorder="1" applyAlignment="1">
      <alignment horizontal="left"/>
    </xf>
    <xf numFmtId="0" fontId="26" fillId="0" borderId="25" xfId="0" applyFont="1" applyBorder="1" applyAlignment="1">
      <alignment horizontal="center" vertical="center"/>
    </xf>
    <xf numFmtId="0" fontId="26" fillId="0" borderId="68" xfId="0" applyFont="1" applyBorder="1" applyAlignment="1">
      <alignment horizontal="center" vertical="center"/>
    </xf>
    <xf numFmtId="0" fontId="23" fillId="0" borderId="40" xfId="0" applyFont="1" applyBorder="1" applyAlignment="1">
      <alignment horizontal="center"/>
    </xf>
    <xf numFmtId="0" fontId="23" fillId="0" borderId="52" xfId="0" applyFont="1" applyBorder="1" applyAlignment="1">
      <alignment horizontal="center"/>
    </xf>
    <xf numFmtId="0" fontId="23" fillId="0" borderId="58" xfId="0" applyFont="1" applyBorder="1" applyAlignment="1">
      <alignment horizontal="center" vertical="center"/>
    </xf>
    <xf numFmtId="0" fontId="23" fillId="0" borderId="17" xfId="0" applyFont="1" applyBorder="1" applyAlignment="1">
      <alignment horizontal="center" vertical="center"/>
    </xf>
    <xf numFmtId="0" fontId="24" fillId="0" borderId="3" xfId="0" applyFont="1" applyBorder="1" applyAlignment="1">
      <alignment horizontal="justify" vertical="center" wrapText="1"/>
    </xf>
    <xf numFmtId="0" fontId="24" fillId="0" borderId="2" xfId="0" applyFont="1" applyBorder="1" applyAlignment="1">
      <alignment horizontal="justify" vertical="center" wrapText="1"/>
    </xf>
    <xf numFmtId="0" fontId="4" fillId="0" borderId="18" xfId="0" applyFont="1" applyBorder="1" applyAlignment="1">
      <alignment horizontal="left" vertical="center"/>
    </xf>
    <xf numFmtId="0" fontId="4" fillId="0" borderId="3" xfId="0" applyFont="1" applyBorder="1" applyAlignment="1">
      <alignment horizontal="left" vertical="center"/>
    </xf>
    <xf numFmtId="0" fontId="23" fillId="0" borderId="52" xfId="0" applyFont="1" applyBorder="1" applyAlignment="1">
      <alignment horizontal="center" vertical="center" wrapText="1"/>
    </xf>
    <xf numFmtId="0" fontId="23" fillId="0" borderId="58" xfId="0" applyFont="1" applyBorder="1" applyAlignment="1">
      <alignment horizontal="center" vertical="center" wrapText="1"/>
    </xf>
    <xf numFmtId="0" fontId="2" fillId="0" borderId="10" xfId="0" applyFont="1" applyBorder="1" applyAlignment="1">
      <alignment horizontal="center" vertical="center"/>
    </xf>
    <xf numFmtId="0" fontId="24" fillId="0" borderId="2" xfId="0" applyFont="1" applyBorder="1" applyAlignment="1">
      <alignment horizontal="left"/>
    </xf>
    <xf numFmtId="0" fontId="4" fillId="3" borderId="48" xfId="0" applyFont="1" applyFill="1" applyBorder="1" applyAlignment="1">
      <alignment horizontal="justify" vertical="center" wrapText="1"/>
    </xf>
    <xf numFmtId="0" fontId="23" fillId="0" borderId="69"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2" xfId="0" applyFont="1" applyBorder="1" applyAlignment="1">
      <alignment horizontal="center" vertical="center" wrapText="1"/>
    </xf>
    <xf numFmtId="0" fontId="23" fillId="0" borderId="12" xfId="0" applyFont="1" applyBorder="1" applyAlignment="1">
      <alignment horizontal="center" vertical="center"/>
    </xf>
    <xf numFmtId="0" fontId="23" fillId="0" borderId="11" xfId="0" applyFont="1" applyBorder="1" applyAlignment="1">
      <alignment horizontal="center" vertical="center"/>
    </xf>
    <xf numFmtId="0" fontId="1" fillId="0" borderId="10" xfId="0" applyFont="1" applyBorder="1" applyAlignment="1" applyProtection="1">
      <alignment horizontal="center" vertical="center" wrapText="1"/>
      <protection locked="0"/>
    </xf>
    <xf numFmtId="0" fontId="0" fillId="0" borderId="17" xfId="0" applyBorder="1" applyAlignment="1" applyProtection="1">
      <alignment horizontal="center" vertical="center" wrapText="1"/>
      <protection locked="0"/>
    </xf>
    <xf numFmtId="0" fontId="27" fillId="0" borderId="17"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0" xfId="0" applyFont="1" applyBorder="1" applyAlignment="1">
      <alignment horizontal="center" vertical="center" wrapText="1"/>
    </xf>
    <xf numFmtId="0" fontId="8" fillId="0" borderId="9" xfId="0" applyFont="1" applyFill="1" applyBorder="1" applyAlignment="1" applyProtection="1">
      <alignment horizontal="center" vertical="center" wrapText="1"/>
      <protection locked="0"/>
    </xf>
    <xf numFmtId="0" fontId="23" fillId="0" borderId="10" xfId="1" applyFont="1" applyBorder="1" applyAlignment="1">
      <alignment horizontal="center" vertical="center" wrapText="1"/>
    </xf>
    <xf numFmtId="0" fontId="23" fillId="0" borderId="12" xfId="1" applyFont="1" applyBorder="1" applyAlignment="1">
      <alignment horizontal="center" vertical="center" wrapText="1"/>
    </xf>
    <xf numFmtId="0" fontId="23" fillId="0" borderId="11" xfId="1" applyFont="1" applyBorder="1" applyAlignment="1">
      <alignment horizontal="center" vertical="center" wrapText="1"/>
    </xf>
    <xf numFmtId="0" fontId="4" fillId="6" borderId="73" xfId="1" applyFont="1" applyFill="1" applyBorder="1" applyAlignment="1">
      <alignment horizontal="left"/>
    </xf>
    <xf numFmtId="0" fontId="4" fillId="6" borderId="48" xfId="1" applyFont="1" applyFill="1" applyBorder="1" applyAlignment="1">
      <alignment horizontal="left"/>
    </xf>
    <xf numFmtId="0" fontId="4" fillId="0" borderId="10" xfId="0" applyFont="1" applyBorder="1" applyAlignment="1" applyProtection="1">
      <alignment horizontal="left" vertical="center" wrapText="1"/>
      <protection locked="0"/>
    </xf>
    <xf numFmtId="0" fontId="5" fillId="0" borderId="10" xfId="0" applyFont="1" applyBorder="1" applyAlignment="1" applyProtection="1">
      <alignment horizontal="center" vertical="center" wrapText="1"/>
      <protection locked="0"/>
    </xf>
    <xf numFmtId="0" fontId="1" fillId="0" borderId="37" xfId="1" applyBorder="1" applyAlignment="1">
      <alignment horizontal="left" vertical="top" wrapText="1"/>
    </xf>
    <xf numFmtId="0" fontId="1" fillId="0" borderId="0" xfId="1" applyAlignment="1">
      <alignment horizontal="left" vertical="top" wrapText="1"/>
    </xf>
    <xf numFmtId="0" fontId="1" fillId="0" borderId="36" xfId="1" applyBorder="1" applyAlignment="1">
      <alignment horizontal="left" vertical="top" wrapText="1"/>
    </xf>
    <xf numFmtId="0" fontId="1" fillId="3" borderId="37" xfId="1" applyFill="1" applyBorder="1" applyAlignment="1">
      <alignment horizontal="left" vertical="center" wrapText="1" indent="1"/>
    </xf>
    <xf numFmtId="0" fontId="1" fillId="3" borderId="0" xfId="1" applyFill="1" applyAlignment="1">
      <alignment horizontal="left" vertical="center" wrapText="1" indent="1"/>
    </xf>
    <xf numFmtId="0" fontId="1" fillId="3" borderId="0" xfId="1" applyFill="1" applyAlignment="1">
      <alignment horizontal="center" vertical="center" wrapText="1"/>
    </xf>
    <xf numFmtId="0" fontId="1" fillId="3" borderId="36" xfId="1" applyFill="1" applyBorder="1" applyAlignment="1">
      <alignment horizontal="center" vertical="center" wrapText="1"/>
    </xf>
    <xf numFmtId="0" fontId="1" fillId="3" borderId="26" xfId="1" applyFill="1" applyBorder="1" applyAlignment="1">
      <alignment horizontal="center" vertical="center" wrapText="1"/>
    </xf>
    <xf numFmtId="0" fontId="1" fillId="3" borderId="74" xfId="1" applyFill="1" applyBorder="1" applyAlignment="1">
      <alignment horizontal="center" vertical="center" wrapText="1"/>
    </xf>
    <xf numFmtId="0" fontId="4" fillId="0" borderId="75" xfId="1" applyFont="1" applyBorder="1" applyAlignment="1">
      <alignment horizontal="left" vertical="top" wrapText="1"/>
    </xf>
    <xf numFmtId="0" fontId="4" fillId="0" borderId="27" xfId="1" applyFont="1" applyBorder="1" applyAlignment="1">
      <alignment horizontal="left" vertical="top" wrapText="1"/>
    </xf>
    <xf numFmtId="0" fontId="4" fillId="0" borderId="76" xfId="1" applyFont="1" applyBorder="1" applyAlignment="1">
      <alignment horizontal="left" vertical="top" wrapText="1"/>
    </xf>
    <xf numFmtId="0" fontId="4" fillId="3" borderId="75" xfId="1" applyFont="1" applyFill="1" applyBorder="1" applyAlignment="1">
      <alignment vertical="center" wrapText="1"/>
    </xf>
    <xf numFmtId="0" fontId="4" fillId="3" borderId="27" xfId="1" applyFont="1" applyFill="1" applyBorder="1" applyAlignment="1">
      <alignment vertical="center" wrapText="1"/>
    </xf>
    <xf numFmtId="0" fontId="4" fillId="3" borderId="27" xfId="1" applyFont="1" applyFill="1" applyBorder="1" applyAlignment="1">
      <alignment horizontal="center" vertical="center" wrapText="1"/>
    </xf>
    <xf numFmtId="0" fontId="4" fillId="3" borderId="76" xfId="1" applyFont="1" applyFill="1" applyBorder="1" applyAlignment="1">
      <alignment horizontal="center" vertical="center" wrapText="1"/>
    </xf>
    <xf numFmtId="0" fontId="4" fillId="0" borderId="77" xfId="1" applyFont="1" applyBorder="1" applyAlignment="1">
      <alignment horizontal="left" vertical="top" wrapText="1"/>
    </xf>
    <xf numFmtId="0" fontId="4" fillId="0" borderId="1" xfId="1" applyFont="1" applyBorder="1" applyAlignment="1">
      <alignment horizontal="left" vertical="top" wrapText="1"/>
    </xf>
    <xf numFmtId="0" fontId="4" fillId="0" borderId="78" xfId="1" applyFont="1" applyBorder="1" applyAlignment="1">
      <alignment horizontal="left" vertical="top" wrapText="1"/>
    </xf>
    <xf numFmtId="0" fontId="4" fillId="0" borderId="37" xfId="1" applyFont="1" applyBorder="1" applyAlignment="1">
      <alignment horizontal="left" vertical="top" wrapText="1"/>
    </xf>
    <xf numFmtId="0" fontId="4" fillId="0" borderId="0" xfId="1" applyFont="1" applyAlignment="1">
      <alignment horizontal="left" vertical="top" wrapText="1"/>
    </xf>
    <xf numFmtId="0" fontId="4" fillId="0" borderId="36" xfId="1" applyFont="1" applyBorder="1" applyAlignment="1">
      <alignment horizontal="left" vertical="top" wrapText="1"/>
    </xf>
    <xf numFmtId="0" fontId="4" fillId="0" borderId="79" xfId="1" applyFont="1" applyBorder="1" applyAlignment="1">
      <alignment horizontal="left" vertical="top" wrapText="1"/>
    </xf>
    <xf numFmtId="0" fontId="4" fillId="0" borderId="26" xfId="1" applyFont="1" applyBorder="1" applyAlignment="1">
      <alignment horizontal="left" vertical="top" wrapText="1"/>
    </xf>
    <xf numFmtId="0" fontId="4" fillId="0" borderId="74" xfId="1" applyFont="1" applyBorder="1" applyAlignment="1">
      <alignment horizontal="left" vertical="top" wrapText="1"/>
    </xf>
    <xf numFmtId="0" fontId="1" fillId="0" borderId="60" xfId="1" applyBorder="1" applyAlignment="1">
      <alignment horizontal="center" vertical="center"/>
    </xf>
    <xf numFmtId="0" fontId="1" fillId="0" borderId="58" xfId="1" applyBorder="1" applyAlignment="1">
      <alignment horizontal="center" vertical="center"/>
    </xf>
    <xf numFmtId="0" fontId="1" fillId="0" borderId="80" xfId="1" applyBorder="1" applyAlignment="1">
      <alignment horizontal="center" vertical="center"/>
    </xf>
    <xf numFmtId="0" fontId="1" fillId="0" borderId="10" xfId="1" applyBorder="1" applyAlignment="1">
      <alignment horizontal="center" vertical="center"/>
    </xf>
    <xf numFmtId="0" fontId="4" fillId="0" borderId="42" xfId="1" applyFont="1" applyBorder="1" applyAlignment="1">
      <alignment horizontal="center" vertical="center" wrapText="1"/>
    </xf>
    <xf numFmtId="0" fontId="4" fillId="0" borderId="18" xfId="1" applyFont="1" applyBorder="1" applyAlignment="1">
      <alignment horizontal="center" vertical="center" wrapText="1"/>
    </xf>
    <xf numFmtId="0" fontId="4" fillId="0" borderId="23"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58" xfId="1" applyFont="1" applyBorder="1" applyAlignment="1">
      <alignment horizontal="center" vertical="center" wrapText="1"/>
    </xf>
    <xf numFmtId="0" fontId="4" fillId="0" borderId="81" xfId="1" applyFont="1" applyBorder="1" applyAlignment="1">
      <alignment horizontal="left" vertical="top" wrapText="1"/>
    </xf>
    <xf numFmtId="0" fontId="4" fillId="0" borderId="21" xfId="1" applyFont="1" applyBorder="1" applyAlignment="1">
      <alignment horizontal="left" vertical="top" wrapText="1"/>
    </xf>
    <xf numFmtId="0" fontId="4" fillId="0" borderId="0" xfId="1" applyFont="1" applyAlignment="1">
      <alignment horizontal="left" vertical="center" wrapText="1"/>
    </xf>
    <xf numFmtId="0" fontId="4" fillId="0" borderId="37" xfId="1" applyFont="1" applyBorder="1" applyAlignment="1">
      <alignment horizontal="left" vertical="center" wrapText="1"/>
    </xf>
    <xf numFmtId="0" fontId="4" fillId="0" borderId="0" xfId="1" applyFont="1" applyAlignment="1">
      <alignment horizontal="center" vertical="center" wrapText="1"/>
    </xf>
  </cellXfs>
  <cellStyles count="3">
    <cellStyle name="Normal" xfId="0" builtinId="0"/>
    <cellStyle name="Normal 2" xfId="1" xr:uid="{00000000-0005-0000-0000-000001000000}"/>
    <cellStyle name="Normal_Planilha Estatistica Joe Damiano - Ingles"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06/relationships/rdRichValue" Target="richData/rdrichvalue.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microsoft.com/office/2017/06/relationships/rdRichValueTypes" Target="richData/rdRichValueTyp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2.xml"/><Relationship Id="rId10" Type="http://schemas.openxmlformats.org/officeDocument/2006/relationships/worksheet" Target="worksheets/sheet10.xml"/><Relationship Id="rId19" Type="http://schemas.microsoft.com/office/2017/06/relationships/rdRichValueStructure" Target="richData/rdrichvaluestructure.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968100648402002"/>
          <c:y val="9.2050209205020925E-2"/>
          <c:w val="0.81914999993506887"/>
          <c:h val="0.76987447698744893"/>
        </c:manualLayout>
      </c:layout>
      <c:scatterChart>
        <c:scatterStyle val="lineMarker"/>
        <c:varyColors val="0"/>
        <c:ser>
          <c:idx val="0"/>
          <c:order val="0"/>
          <c:spPr>
            <a:ln w="12700">
              <a:solidFill>
                <a:srgbClr val="FF0000"/>
              </a:solidFill>
              <a:prstDash val="solid"/>
            </a:ln>
          </c:spPr>
          <c:marker>
            <c:symbol val="none"/>
          </c:marker>
          <c:xVal>
            <c:numRef>
              <c:f>Stat_Ruido!$A$161:$A$260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Stat_Ruido!$B$161:$B$260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C066-4243-9470-FDD10DE73D74}"/>
            </c:ext>
          </c:extLst>
        </c:ser>
        <c:ser>
          <c:idx val="1"/>
          <c:order val="1"/>
          <c:spPr>
            <a:ln w="12700">
              <a:solidFill>
                <a:srgbClr val="000000"/>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C066-4243-9470-FDD10DE73D7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Stat_Ruido!$U$161:$U$162</c:f>
              <c:numCache>
                <c:formatCode>0.000</c:formatCode>
                <c:ptCount val="2"/>
                <c:pt idx="0">
                  <c:v>0</c:v>
                </c:pt>
                <c:pt idx="1">
                  <c:v>0</c:v>
                </c:pt>
              </c:numCache>
            </c:numRef>
          </c:xVal>
          <c:yVal>
            <c:numRef>
              <c:f>Stat_Ruido!$V$161:$V$162</c:f>
              <c:numCache>
                <c:formatCode>General</c:formatCode>
                <c:ptCount val="2"/>
                <c:pt idx="0">
                  <c:v>0</c:v>
                </c:pt>
                <c:pt idx="1">
                  <c:v>0</c:v>
                </c:pt>
              </c:numCache>
            </c:numRef>
          </c:yVal>
          <c:smooth val="0"/>
          <c:extLst>
            <c:ext xmlns:c16="http://schemas.microsoft.com/office/drawing/2014/chart" uri="{C3380CC4-5D6E-409C-BE32-E72D297353CC}">
              <c16:uniqueId val="{00000002-C066-4243-9470-FDD10DE73D74}"/>
            </c:ext>
          </c:extLst>
        </c:ser>
        <c:ser>
          <c:idx val="2"/>
          <c:order val="2"/>
          <c:spPr>
            <a:ln w="12700">
              <a:solidFill>
                <a:srgbClr val="0000FF"/>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C066-4243-9470-FDD10DE73D7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Stat_Ruido!$W$161:$W$162</c:f>
              <c:numCache>
                <c:formatCode>0.000</c:formatCode>
                <c:ptCount val="2"/>
                <c:pt idx="0">
                  <c:v>0</c:v>
                </c:pt>
                <c:pt idx="1">
                  <c:v>0</c:v>
                </c:pt>
              </c:numCache>
            </c:numRef>
          </c:xVal>
          <c:yVal>
            <c:numRef>
              <c:f>Stat_Ruido!$X$161:$X$162</c:f>
              <c:numCache>
                <c:formatCode>General</c:formatCode>
                <c:ptCount val="2"/>
                <c:pt idx="0">
                  <c:v>0</c:v>
                </c:pt>
                <c:pt idx="1">
                  <c:v>0</c:v>
                </c:pt>
              </c:numCache>
            </c:numRef>
          </c:yVal>
          <c:smooth val="0"/>
          <c:extLst>
            <c:ext xmlns:c16="http://schemas.microsoft.com/office/drawing/2014/chart" uri="{C3380CC4-5D6E-409C-BE32-E72D297353CC}">
              <c16:uniqueId val="{00000004-C066-4243-9470-FDD10DE73D74}"/>
            </c:ext>
          </c:extLst>
        </c:ser>
        <c:ser>
          <c:idx val="3"/>
          <c:order val="3"/>
          <c:spPr>
            <a:ln w="3175">
              <a:solidFill>
                <a:srgbClr val="000000"/>
              </a:solidFill>
              <a:prstDash val="lgDashDot"/>
            </a:ln>
          </c:spPr>
          <c:marker>
            <c:symbol val="none"/>
          </c:marker>
          <c:xVal>
            <c:numRef>
              <c:f>Stat_Ruido!$Y$161:$Y$162</c:f>
              <c:numCache>
                <c:formatCode>0.000</c:formatCode>
                <c:ptCount val="2"/>
                <c:pt idx="0">
                  <c:v>0</c:v>
                </c:pt>
                <c:pt idx="1">
                  <c:v>0</c:v>
                </c:pt>
              </c:numCache>
            </c:numRef>
          </c:xVal>
          <c:yVal>
            <c:numRef>
              <c:f>Stat_Ruido!$Z$161:$Z$162</c:f>
              <c:numCache>
                <c:formatCode>General</c:formatCode>
                <c:ptCount val="2"/>
                <c:pt idx="0">
                  <c:v>0</c:v>
                </c:pt>
                <c:pt idx="1">
                  <c:v>0</c:v>
                </c:pt>
              </c:numCache>
            </c:numRef>
          </c:yVal>
          <c:smooth val="0"/>
          <c:extLst>
            <c:ext xmlns:c16="http://schemas.microsoft.com/office/drawing/2014/chart" uri="{C3380CC4-5D6E-409C-BE32-E72D297353CC}">
              <c16:uniqueId val="{00000005-C066-4243-9470-FDD10DE73D74}"/>
            </c:ext>
          </c:extLst>
        </c:ser>
        <c:ser>
          <c:idx val="4"/>
          <c:order val="4"/>
          <c:spPr>
            <a:ln w="3175">
              <a:solidFill>
                <a:srgbClr val="000000"/>
              </a:solidFill>
              <a:prstDash val="lgDashDot"/>
            </a:ln>
          </c:spPr>
          <c:marker>
            <c:symbol val="none"/>
          </c:marker>
          <c:xVal>
            <c:numRef>
              <c:f>Stat_Ruido!$AA$161:$AA$162</c:f>
              <c:numCache>
                <c:formatCode>0.000</c:formatCode>
                <c:ptCount val="2"/>
                <c:pt idx="0">
                  <c:v>0</c:v>
                </c:pt>
                <c:pt idx="1">
                  <c:v>0</c:v>
                </c:pt>
              </c:numCache>
            </c:numRef>
          </c:xVal>
          <c:yVal>
            <c:numRef>
              <c:f>Stat_Ruido!$AB$161:$AB$162</c:f>
              <c:numCache>
                <c:formatCode>General</c:formatCode>
                <c:ptCount val="2"/>
                <c:pt idx="0">
                  <c:v>0</c:v>
                </c:pt>
                <c:pt idx="1">
                  <c:v>0</c:v>
                </c:pt>
              </c:numCache>
            </c:numRef>
          </c:yVal>
          <c:smooth val="0"/>
          <c:extLst>
            <c:ext xmlns:c16="http://schemas.microsoft.com/office/drawing/2014/chart" uri="{C3380CC4-5D6E-409C-BE32-E72D297353CC}">
              <c16:uniqueId val="{00000006-C066-4243-9470-FDD10DE73D74}"/>
            </c:ext>
          </c:extLst>
        </c:ser>
        <c:dLbls>
          <c:showLegendKey val="0"/>
          <c:showVal val="0"/>
          <c:showCatName val="0"/>
          <c:showSerName val="0"/>
          <c:showPercent val="0"/>
          <c:showBubbleSize val="0"/>
        </c:dLbls>
        <c:axId val="474271440"/>
        <c:axId val="1"/>
      </c:scatterChart>
      <c:valAx>
        <c:axId val="4742714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474271440"/>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0.98425196899999956" l="0.78740157499999996" r="0.78740157499999996" t="0.98425196899999956" header="0.49212598500000088" footer="0.49212598500000088"/>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879442823684134"/>
          <c:y val="6.5601561190999497E-2"/>
          <c:w val="0.6858363808193273"/>
          <c:h val="0.82001951488749369"/>
        </c:manualLayout>
      </c:layout>
      <c:scatterChart>
        <c:scatterStyle val="lineMarker"/>
        <c:varyColors val="0"/>
        <c:ser>
          <c:idx val="0"/>
          <c:order val="0"/>
          <c:spPr>
            <a:ln w="12700">
              <a:solidFill>
                <a:srgbClr val="FF0000"/>
              </a:solidFill>
              <a:prstDash val="solid"/>
            </a:ln>
          </c:spPr>
          <c:marker>
            <c:symbol val="none"/>
          </c:marker>
          <c:xVal>
            <c:numRef>
              <c:f>Stat_Silica!$A$161:$A$260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Stat_Silica!$B$161:$B$260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3652-4D01-965D-8BF0A63D7FA6}"/>
            </c:ext>
          </c:extLst>
        </c:ser>
        <c:ser>
          <c:idx val="1"/>
          <c:order val="1"/>
          <c:spPr>
            <a:ln w="12700">
              <a:solidFill>
                <a:srgbClr val="000000"/>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3652-4D01-965D-8BF0A63D7FA6}"/>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Stat_Silica!$U$161:$U$162</c:f>
              <c:numCache>
                <c:formatCode>0.000</c:formatCode>
                <c:ptCount val="2"/>
                <c:pt idx="0">
                  <c:v>0</c:v>
                </c:pt>
                <c:pt idx="1">
                  <c:v>0</c:v>
                </c:pt>
              </c:numCache>
            </c:numRef>
          </c:xVal>
          <c:yVal>
            <c:numRef>
              <c:f>Stat_Silica!$V$161:$V$162</c:f>
              <c:numCache>
                <c:formatCode>General</c:formatCode>
                <c:ptCount val="2"/>
                <c:pt idx="0">
                  <c:v>0</c:v>
                </c:pt>
                <c:pt idx="1">
                  <c:v>0</c:v>
                </c:pt>
              </c:numCache>
            </c:numRef>
          </c:yVal>
          <c:smooth val="0"/>
          <c:extLst>
            <c:ext xmlns:c16="http://schemas.microsoft.com/office/drawing/2014/chart" uri="{C3380CC4-5D6E-409C-BE32-E72D297353CC}">
              <c16:uniqueId val="{00000002-3652-4D01-965D-8BF0A63D7FA6}"/>
            </c:ext>
          </c:extLst>
        </c:ser>
        <c:ser>
          <c:idx val="2"/>
          <c:order val="2"/>
          <c:spPr>
            <a:ln w="12700">
              <a:solidFill>
                <a:srgbClr val="0000FF"/>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3652-4D01-965D-8BF0A63D7FA6}"/>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Stat_Silica!$W$161:$W$162</c:f>
              <c:numCache>
                <c:formatCode>0.000</c:formatCode>
                <c:ptCount val="2"/>
                <c:pt idx="0">
                  <c:v>0</c:v>
                </c:pt>
                <c:pt idx="1">
                  <c:v>0</c:v>
                </c:pt>
              </c:numCache>
            </c:numRef>
          </c:xVal>
          <c:yVal>
            <c:numRef>
              <c:f>Stat_Silica!$X$161:$X$162</c:f>
              <c:numCache>
                <c:formatCode>General</c:formatCode>
                <c:ptCount val="2"/>
                <c:pt idx="0">
                  <c:v>0</c:v>
                </c:pt>
                <c:pt idx="1">
                  <c:v>0</c:v>
                </c:pt>
              </c:numCache>
            </c:numRef>
          </c:yVal>
          <c:smooth val="0"/>
          <c:extLst>
            <c:ext xmlns:c16="http://schemas.microsoft.com/office/drawing/2014/chart" uri="{C3380CC4-5D6E-409C-BE32-E72D297353CC}">
              <c16:uniqueId val="{00000004-3652-4D01-965D-8BF0A63D7FA6}"/>
            </c:ext>
          </c:extLst>
        </c:ser>
        <c:ser>
          <c:idx val="3"/>
          <c:order val="3"/>
          <c:spPr>
            <a:ln w="3175">
              <a:solidFill>
                <a:srgbClr val="000000"/>
              </a:solidFill>
              <a:prstDash val="lgDashDot"/>
            </a:ln>
          </c:spPr>
          <c:marker>
            <c:symbol val="none"/>
          </c:marker>
          <c:xVal>
            <c:numRef>
              <c:f>Stat_Silica!$Y$161:$Y$162</c:f>
              <c:numCache>
                <c:formatCode>0.000</c:formatCode>
                <c:ptCount val="2"/>
                <c:pt idx="0">
                  <c:v>0</c:v>
                </c:pt>
                <c:pt idx="1">
                  <c:v>0</c:v>
                </c:pt>
              </c:numCache>
            </c:numRef>
          </c:xVal>
          <c:yVal>
            <c:numRef>
              <c:f>Stat_Silica!$Z$161:$Z$162</c:f>
              <c:numCache>
                <c:formatCode>General</c:formatCode>
                <c:ptCount val="2"/>
                <c:pt idx="0">
                  <c:v>0</c:v>
                </c:pt>
                <c:pt idx="1">
                  <c:v>0</c:v>
                </c:pt>
              </c:numCache>
            </c:numRef>
          </c:yVal>
          <c:smooth val="0"/>
          <c:extLst>
            <c:ext xmlns:c16="http://schemas.microsoft.com/office/drawing/2014/chart" uri="{C3380CC4-5D6E-409C-BE32-E72D297353CC}">
              <c16:uniqueId val="{00000005-3652-4D01-965D-8BF0A63D7FA6}"/>
            </c:ext>
          </c:extLst>
        </c:ser>
        <c:ser>
          <c:idx val="4"/>
          <c:order val="4"/>
          <c:spPr>
            <a:ln w="3175">
              <a:solidFill>
                <a:srgbClr val="000000"/>
              </a:solidFill>
              <a:prstDash val="lgDashDot"/>
            </a:ln>
          </c:spPr>
          <c:marker>
            <c:symbol val="none"/>
          </c:marker>
          <c:xVal>
            <c:numRef>
              <c:f>Stat_Silica!$AA$161:$AA$162</c:f>
              <c:numCache>
                <c:formatCode>0.000</c:formatCode>
                <c:ptCount val="2"/>
                <c:pt idx="0">
                  <c:v>0</c:v>
                </c:pt>
                <c:pt idx="1">
                  <c:v>0</c:v>
                </c:pt>
              </c:numCache>
            </c:numRef>
          </c:xVal>
          <c:yVal>
            <c:numRef>
              <c:f>Stat_Silica!$AB$161:$AB$162</c:f>
              <c:numCache>
                <c:formatCode>General</c:formatCode>
                <c:ptCount val="2"/>
                <c:pt idx="0">
                  <c:v>0</c:v>
                </c:pt>
                <c:pt idx="1">
                  <c:v>0</c:v>
                </c:pt>
              </c:numCache>
            </c:numRef>
          </c:yVal>
          <c:smooth val="0"/>
          <c:extLst>
            <c:ext xmlns:c16="http://schemas.microsoft.com/office/drawing/2014/chart" uri="{C3380CC4-5D6E-409C-BE32-E72D297353CC}">
              <c16:uniqueId val="{00000006-3652-4D01-965D-8BF0A63D7FA6}"/>
            </c:ext>
          </c:extLst>
        </c:ser>
        <c:dLbls>
          <c:showLegendKey val="0"/>
          <c:showVal val="0"/>
          <c:showCatName val="0"/>
          <c:showSerName val="0"/>
          <c:showPercent val="0"/>
          <c:showBubbleSize val="0"/>
        </c:dLbls>
        <c:axId val="551535824"/>
        <c:axId val="1"/>
      </c:scatterChart>
      <c:valAx>
        <c:axId val="5515358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551535824"/>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Header>&amp;F</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pt-BR"/>
              <a:t>Sequential Data Plot</a:t>
            </a:r>
          </a:p>
        </c:rich>
      </c:tx>
      <c:layout>
        <c:manualLayout>
          <c:xMode val="edge"/>
          <c:yMode val="edge"/>
          <c:x val="0.22175732217573221"/>
          <c:y val="3.4187926509186353E-2"/>
        </c:manualLayout>
      </c:layout>
      <c:overlay val="0"/>
      <c:spPr>
        <a:noFill/>
        <a:ln w="25400">
          <a:noFill/>
        </a:ln>
      </c:spPr>
    </c:title>
    <c:autoTitleDeleted val="0"/>
    <c:plotArea>
      <c:layout>
        <c:manualLayout>
          <c:layoutTarget val="inner"/>
          <c:xMode val="edge"/>
          <c:yMode val="edge"/>
          <c:x val="0.20920502092050208"/>
          <c:y val="0.17094017094017094"/>
          <c:w val="0.73640167364016884"/>
          <c:h val="0.6752136752136767"/>
        </c:manualLayout>
      </c:layout>
      <c:scatterChart>
        <c:scatterStyle val="lineMarker"/>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xVal>
            <c:numRef>
              <c:f>Stat_Silica!$I$74:$I$123</c:f>
              <c:numCache>
                <c:formatCode>General</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xVal>
          <c:yVal>
            <c:numRef>
              <c:f>Stat_Silica!$J$74:$J$123</c:f>
              <c:numCache>
                <c:formatCode>General</c:formatCode>
                <c:ptCount val="50"/>
                <c:pt idx="0">
                  <c:v>0</c:v>
                </c:pt>
                <c:pt idx="1">
                  <c:v>0</c:v>
                </c:pt>
                <c:pt idx="2">
                  <c:v>0</c:v>
                </c:pt>
                <c:pt idx="3">
                  <c:v>0</c:v>
                </c:pt>
                <c:pt idx="4">
                  <c:v>0</c:v>
                </c:pt>
                <c:pt idx="5">
                  <c:v>0</c:v>
                </c:pt>
                <c:pt idx="6">
                  <c:v>0</c:v>
                </c:pt>
                <c:pt idx="7">
                  <c:v>0</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0-57B4-457B-8631-06860844F9A7}"/>
            </c:ext>
          </c:extLst>
        </c:ser>
        <c:dLbls>
          <c:showLegendKey val="0"/>
          <c:showVal val="0"/>
          <c:showCatName val="0"/>
          <c:showSerName val="0"/>
          <c:showPercent val="0"/>
          <c:showBubbleSize val="0"/>
        </c:dLbls>
        <c:axId val="551537264"/>
        <c:axId val="1"/>
      </c:scatterChart>
      <c:valAx>
        <c:axId val="55153726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pt-BR"/>
                  <a:t>Sample Number</a:t>
                </a:r>
              </a:p>
            </c:rich>
          </c:tx>
          <c:layout>
            <c:manualLayout>
              <c:xMode val="edge"/>
              <c:yMode val="edge"/>
              <c:x val="0.38493723849372385"/>
              <c:y val="0.9230770153730782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800" b="1" i="0" u="none" strike="noStrike" baseline="0">
                    <a:solidFill>
                      <a:srgbClr val="000000"/>
                    </a:solidFill>
                    <a:latin typeface="Arial"/>
                    <a:ea typeface="Arial"/>
                    <a:cs typeface="Arial"/>
                  </a:defRPr>
                </a:pPr>
                <a:r>
                  <a:rPr lang="pt-BR"/>
                  <a:t>Concentration</a:t>
                </a:r>
              </a:p>
            </c:rich>
          </c:tx>
          <c:layout>
            <c:manualLayout>
              <c:xMode val="edge"/>
              <c:yMode val="edge"/>
              <c:x val="2.9288702928870293E-2"/>
              <c:y val="0.3903133108361454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551537264"/>
        <c:crosses val="autoZero"/>
        <c:crossBetween val="midCat"/>
      </c:valAx>
      <c:spPr>
        <a:solidFill>
          <a:srgbClr val="C0C0C0"/>
        </a:solidFill>
        <a:ln w="12700">
          <a:solidFill>
            <a:srgbClr val="808080"/>
          </a:solidFill>
          <a:prstDash val="solid"/>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Probability Plot and Least Squares Best Fit Line</a:t>
            </a:r>
          </a:p>
        </c:rich>
      </c:tx>
      <c:layout>
        <c:manualLayout>
          <c:xMode val="edge"/>
          <c:yMode val="edge"/>
          <c:x val="0.17282187071748775"/>
          <c:y val="3.2258064516129031E-2"/>
        </c:manualLayout>
      </c:layout>
      <c:overlay val="0"/>
      <c:spPr>
        <a:noFill/>
        <a:ln w="25400">
          <a:noFill/>
        </a:ln>
      </c:spPr>
    </c:title>
    <c:autoTitleDeleted val="0"/>
    <c:plotArea>
      <c:layout>
        <c:manualLayout>
          <c:layoutTarget val="inner"/>
          <c:xMode val="edge"/>
          <c:yMode val="edge"/>
          <c:x val="7.9763893336564584E-2"/>
          <c:y val="0.10173697270471477"/>
          <c:w val="0.84195220744151533"/>
          <c:h val="0.77667493796526155"/>
        </c:manualLayout>
      </c:layout>
      <c:scatterChart>
        <c:scatterStyle val="lineMarker"/>
        <c:varyColors val="0"/>
        <c:ser>
          <c:idx val="1"/>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6DB7-424D-9D28-1AB07BEA746F}"/>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6DB7-424D-9D28-1AB07BEA746F}"/>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6DB7-424D-9D28-1AB07BEA746F}"/>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6DB7-424D-9D28-1AB07BEA746F}"/>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6DB7-424D-9D28-1AB07BEA746F}"/>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6DB7-424D-9D28-1AB07BEA746F}"/>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6DB7-424D-9D28-1AB07BEA746F}"/>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6DB7-424D-9D28-1AB07BEA746F}"/>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6DB7-424D-9D28-1AB07BEA746F}"/>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6DB7-424D-9D28-1AB07BEA746F}"/>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6DB7-424D-9D28-1AB07BEA746F}"/>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6DB7-424D-9D28-1AB07BEA746F}"/>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6DB7-424D-9D28-1AB07BEA746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Stat_Poeira!$F$10:$F$22</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Stat_Poeira!$G$10:$G$22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6DB7-424D-9D28-1AB07BEA746F}"/>
            </c:ext>
          </c:extLst>
        </c:ser>
        <c:ser>
          <c:idx val="2"/>
          <c:order val="1"/>
          <c:spPr>
            <a:ln w="12700">
              <a:solidFill>
                <a:srgbClr val="0000FF"/>
              </a:solidFill>
              <a:prstDash val="solid"/>
            </a:ln>
          </c:spPr>
          <c:marker>
            <c:symbol val="none"/>
          </c:marker>
          <c:xVal>
            <c:numRef>
              <c:f>Stat_Poeira!$W$69:$W$70</c:f>
              <c:numCache>
                <c:formatCode>0.00</c:formatCode>
                <c:ptCount val="2"/>
                <c:pt idx="0">
                  <c:v>0</c:v>
                </c:pt>
                <c:pt idx="1">
                  <c:v>0</c:v>
                </c:pt>
              </c:numCache>
            </c:numRef>
          </c:xVal>
          <c:yVal>
            <c:numRef>
              <c:f>Stat_Poeira!$X$69:$X$70</c:f>
              <c:numCache>
                <c:formatCode>General</c:formatCode>
                <c:ptCount val="2"/>
                <c:pt idx="0">
                  <c:v>2.5</c:v>
                </c:pt>
                <c:pt idx="1">
                  <c:v>7.33</c:v>
                </c:pt>
              </c:numCache>
            </c:numRef>
          </c:yVal>
          <c:smooth val="0"/>
          <c:extLst>
            <c:ext xmlns:c16="http://schemas.microsoft.com/office/drawing/2014/chart" uri="{C3380CC4-5D6E-409C-BE32-E72D297353CC}">
              <c16:uniqueId val="{0000000E-6DB7-424D-9D28-1AB07BEA746F}"/>
            </c:ext>
          </c:extLst>
        </c:ser>
        <c:ser>
          <c:idx val="3"/>
          <c:order val="2"/>
          <c:spPr>
            <a:ln w="28575">
              <a:noFill/>
            </a:ln>
          </c:spPr>
          <c:marker>
            <c:symbol val="square"/>
            <c:size val="5"/>
            <c:spPr>
              <a:solidFill>
                <a:srgbClr val="FFFF00"/>
              </a:solidFill>
              <a:ln>
                <a:solidFill>
                  <a:srgbClr val="000000"/>
                </a:solidFill>
                <a:prstDash val="solid"/>
              </a:ln>
            </c:spPr>
          </c:marker>
          <c:xVal>
            <c:numRef>
              <c:f>Stat_Poeira!$N$74:$N$123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Stat_Poeira!$P$74:$P$123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6DB7-424D-9D28-1AB07BEA746F}"/>
            </c:ext>
          </c:extLst>
        </c:ser>
        <c:ser>
          <c:idx val="4"/>
          <c:order val="3"/>
          <c:spPr>
            <a:ln w="28575">
              <a:noFill/>
            </a:ln>
          </c:spPr>
          <c:marker>
            <c:symbol val="square"/>
            <c:size val="5"/>
            <c:spPr>
              <a:solidFill>
                <a:srgbClr val="FF00FF"/>
              </a:solidFill>
              <a:ln>
                <a:solidFill>
                  <a:srgbClr val="000000"/>
                </a:solidFill>
                <a:prstDash val="solid"/>
              </a:ln>
            </c:spPr>
          </c:marker>
          <c:xVal>
            <c:numRef>
              <c:f>Stat_Poeira!$N$74:$N$123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Stat_Poeira!$O$74:$O$123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10-6DB7-424D-9D28-1AB07BEA746F}"/>
            </c:ext>
          </c:extLst>
        </c:ser>
        <c:dLbls>
          <c:showLegendKey val="0"/>
          <c:showVal val="0"/>
          <c:showCatName val="0"/>
          <c:showSerName val="0"/>
          <c:showPercent val="0"/>
          <c:showBubbleSize val="0"/>
        </c:dLbls>
        <c:axId val="566973464"/>
        <c:axId val="1"/>
      </c:scatterChart>
      <c:valAx>
        <c:axId val="566973464"/>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000" b="1" i="0" u="none" strike="noStrike" baseline="0">
                    <a:solidFill>
                      <a:srgbClr val="000000"/>
                    </a:solidFill>
                    <a:latin typeface="Geneva"/>
                    <a:ea typeface="Geneva"/>
                    <a:cs typeface="Geneva"/>
                  </a:defRPr>
                </a:pPr>
                <a:r>
                  <a:rPr lang="pt-BR"/>
                  <a:t>Concentration</a:t>
                </a:r>
              </a:p>
            </c:rich>
          </c:tx>
          <c:layout>
            <c:manualLayout>
              <c:xMode val="edge"/>
              <c:yMode val="edge"/>
              <c:x val="0.29689917078949202"/>
              <c:y val="0.9330024813895782"/>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566973464"/>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Log-Probability Plot and Least Squares Best Fit Line</a:t>
            </a:r>
          </a:p>
        </c:rich>
      </c:tx>
      <c:layout>
        <c:manualLayout>
          <c:xMode val="edge"/>
          <c:yMode val="edge"/>
          <c:x val="0.14069673109043188"/>
          <c:y val="3.2345037951337169E-2"/>
        </c:manualLayout>
      </c:layout>
      <c:overlay val="0"/>
      <c:spPr>
        <a:noFill/>
        <a:ln w="25400">
          <a:noFill/>
        </a:ln>
      </c:spPr>
    </c:title>
    <c:autoTitleDeleted val="0"/>
    <c:plotArea>
      <c:layout>
        <c:manualLayout>
          <c:layoutTarget val="inner"/>
          <c:xMode val="edge"/>
          <c:yMode val="edge"/>
          <c:x val="0.12254232780781846"/>
          <c:y val="0.20754716981132135"/>
          <c:w val="0.75794699051502634"/>
          <c:h val="0.67115902964959817"/>
        </c:manualLayout>
      </c:layout>
      <c:scatterChart>
        <c:scatterStyle val="lineMarker"/>
        <c:varyColors val="0"/>
        <c:ser>
          <c:idx val="0"/>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F1E7-4BA8-898D-611432E2F7C2}"/>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F1E7-4BA8-898D-611432E2F7C2}"/>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F1E7-4BA8-898D-611432E2F7C2}"/>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F1E7-4BA8-898D-611432E2F7C2}"/>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F1E7-4BA8-898D-611432E2F7C2}"/>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F1E7-4BA8-898D-611432E2F7C2}"/>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F1E7-4BA8-898D-611432E2F7C2}"/>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F1E7-4BA8-898D-611432E2F7C2}"/>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F1E7-4BA8-898D-611432E2F7C2}"/>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F1E7-4BA8-898D-611432E2F7C2}"/>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F1E7-4BA8-898D-611432E2F7C2}"/>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F1E7-4BA8-898D-611432E2F7C2}"/>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F1E7-4BA8-898D-611432E2F7C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Stat_Poeira!$D$10:$D$22</c:f>
              <c:numCache>
                <c:formatCode>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Stat_Poeira!$E$10:$E$22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F1E7-4BA8-898D-611432E2F7C2}"/>
            </c:ext>
          </c:extLst>
        </c:ser>
        <c:ser>
          <c:idx val="1"/>
          <c:order val="1"/>
          <c:spPr>
            <a:ln w="12700">
              <a:solidFill>
                <a:srgbClr val="00FF00"/>
              </a:solidFill>
              <a:prstDash val="solid"/>
            </a:ln>
          </c:spPr>
          <c:marker>
            <c:symbol val="none"/>
          </c:marker>
          <c:xVal>
            <c:numRef>
              <c:f>Stat_Poeira!$W$78:$W$79</c:f>
              <c:numCache>
                <c:formatCode>0.00</c:formatCode>
                <c:ptCount val="2"/>
                <c:pt idx="0">
                  <c:v>0</c:v>
                </c:pt>
                <c:pt idx="1">
                  <c:v>0</c:v>
                </c:pt>
              </c:numCache>
            </c:numRef>
          </c:xVal>
          <c:yVal>
            <c:numRef>
              <c:f>Stat_Poeira!$X$78:$X$79</c:f>
              <c:numCache>
                <c:formatCode>General</c:formatCode>
                <c:ptCount val="2"/>
                <c:pt idx="0">
                  <c:v>2.5</c:v>
                </c:pt>
                <c:pt idx="1">
                  <c:v>7.33</c:v>
                </c:pt>
              </c:numCache>
            </c:numRef>
          </c:yVal>
          <c:smooth val="0"/>
          <c:extLst>
            <c:ext xmlns:c16="http://schemas.microsoft.com/office/drawing/2014/chart" uri="{C3380CC4-5D6E-409C-BE32-E72D297353CC}">
              <c16:uniqueId val="{0000000E-F1E7-4BA8-898D-611432E2F7C2}"/>
            </c:ext>
          </c:extLst>
        </c:ser>
        <c:ser>
          <c:idx val="2"/>
          <c:order val="2"/>
          <c:spPr>
            <a:ln w="28575">
              <a:noFill/>
            </a:ln>
          </c:spPr>
          <c:marker>
            <c:symbol val="square"/>
            <c:size val="5"/>
            <c:spPr>
              <a:solidFill>
                <a:srgbClr val="0000FF"/>
              </a:solidFill>
              <a:ln>
                <a:solidFill>
                  <a:srgbClr val="000000"/>
                </a:solidFill>
                <a:prstDash val="solid"/>
              </a:ln>
            </c:spPr>
          </c:marker>
          <c:xVal>
            <c:numRef>
              <c:f>Stat_Poeira!$N$74:$N$123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Stat_Poeira!$O$74:$O$123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F1E7-4BA8-898D-611432E2F7C2}"/>
            </c:ext>
          </c:extLst>
        </c:ser>
        <c:dLbls>
          <c:showLegendKey val="0"/>
          <c:showVal val="0"/>
          <c:showCatName val="0"/>
          <c:showSerName val="0"/>
          <c:showPercent val="0"/>
          <c:showBubbleSize val="0"/>
        </c:dLbls>
        <c:axId val="566971664"/>
        <c:axId val="1"/>
      </c:scatterChart>
      <c:valAx>
        <c:axId val="566971664"/>
        <c:scaling>
          <c:logBase val="10"/>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numFmt formatCode="0"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566971664"/>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1879442823684134"/>
          <c:y val="6.5601561190999497E-2"/>
          <c:w val="0.6858363808193273"/>
          <c:h val="0.82001951488749369"/>
        </c:manualLayout>
      </c:layout>
      <c:scatterChart>
        <c:scatterStyle val="lineMarker"/>
        <c:varyColors val="0"/>
        <c:ser>
          <c:idx val="0"/>
          <c:order val="0"/>
          <c:spPr>
            <a:ln w="12700">
              <a:solidFill>
                <a:srgbClr val="FF0000"/>
              </a:solidFill>
              <a:prstDash val="solid"/>
            </a:ln>
          </c:spPr>
          <c:marker>
            <c:symbol val="none"/>
          </c:marker>
          <c:xVal>
            <c:numRef>
              <c:f>Stat_Poeira!$A$161:$A$260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Stat_Poeira!$B$161:$B$260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7992-45A0-8FFE-9E8059796F77}"/>
            </c:ext>
          </c:extLst>
        </c:ser>
        <c:ser>
          <c:idx val="1"/>
          <c:order val="1"/>
          <c:spPr>
            <a:ln w="12700">
              <a:solidFill>
                <a:srgbClr val="000000"/>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7992-45A0-8FFE-9E8059796F77}"/>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Stat_Poeira!$U$161:$U$162</c:f>
              <c:numCache>
                <c:formatCode>0.000</c:formatCode>
                <c:ptCount val="2"/>
                <c:pt idx="0">
                  <c:v>0</c:v>
                </c:pt>
                <c:pt idx="1">
                  <c:v>0</c:v>
                </c:pt>
              </c:numCache>
            </c:numRef>
          </c:xVal>
          <c:yVal>
            <c:numRef>
              <c:f>Stat_Poeira!$V$161:$V$162</c:f>
              <c:numCache>
                <c:formatCode>General</c:formatCode>
                <c:ptCount val="2"/>
                <c:pt idx="0">
                  <c:v>0</c:v>
                </c:pt>
                <c:pt idx="1">
                  <c:v>0</c:v>
                </c:pt>
              </c:numCache>
            </c:numRef>
          </c:yVal>
          <c:smooth val="0"/>
          <c:extLst>
            <c:ext xmlns:c16="http://schemas.microsoft.com/office/drawing/2014/chart" uri="{C3380CC4-5D6E-409C-BE32-E72D297353CC}">
              <c16:uniqueId val="{00000002-7992-45A0-8FFE-9E8059796F77}"/>
            </c:ext>
          </c:extLst>
        </c:ser>
        <c:ser>
          <c:idx val="2"/>
          <c:order val="2"/>
          <c:spPr>
            <a:ln w="12700">
              <a:solidFill>
                <a:srgbClr val="0000FF"/>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7992-45A0-8FFE-9E8059796F77}"/>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Stat_Poeira!$W$161:$W$162</c:f>
              <c:numCache>
                <c:formatCode>0.000</c:formatCode>
                <c:ptCount val="2"/>
                <c:pt idx="0">
                  <c:v>0</c:v>
                </c:pt>
                <c:pt idx="1">
                  <c:v>0</c:v>
                </c:pt>
              </c:numCache>
            </c:numRef>
          </c:xVal>
          <c:yVal>
            <c:numRef>
              <c:f>Stat_Poeira!$X$161:$X$162</c:f>
              <c:numCache>
                <c:formatCode>General</c:formatCode>
                <c:ptCount val="2"/>
                <c:pt idx="0">
                  <c:v>0</c:v>
                </c:pt>
                <c:pt idx="1">
                  <c:v>0</c:v>
                </c:pt>
              </c:numCache>
            </c:numRef>
          </c:yVal>
          <c:smooth val="0"/>
          <c:extLst>
            <c:ext xmlns:c16="http://schemas.microsoft.com/office/drawing/2014/chart" uri="{C3380CC4-5D6E-409C-BE32-E72D297353CC}">
              <c16:uniqueId val="{00000004-7992-45A0-8FFE-9E8059796F77}"/>
            </c:ext>
          </c:extLst>
        </c:ser>
        <c:ser>
          <c:idx val="3"/>
          <c:order val="3"/>
          <c:spPr>
            <a:ln w="3175">
              <a:solidFill>
                <a:srgbClr val="000000"/>
              </a:solidFill>
              <a:prstDash val="lgDashDot"/>
            </a:ln>
          </c:spPr>
          <c:marker>
            <c:symbol val="none"/>
          </c:marker>
          <c:xVal>
            <c:numRef>
              <c:f>Stat_Poeira!$Y$161:$Y$162</c:f>
              <c:numCache>
                <c:formatCode>0.000</c:formatCode>
                <c:ptCount val="2"/>
                <c:pt idx="0">
                  <c:v>0</c:v>
                </c:pt>
                <c:pt idx="1">
                  <c:v>0</c:v>
                </c:pt>
              </c:numCache>
            </c:numRef>
          </c:xVal>
          <c:yVal>
            <c:numRef>
              <c:f>Stat_Poeira!$Z$161:$Z$162</c:f>
              <c:numCache>
                <c:formatCode>General</c:formatCode>
                <c:ptCount val="2"/>
                <c:pt idx="0">
                  <c:v>0</c:v>
                </c:pt>
                <c:pt idx="1">
                  <c:v>0</c:v>
                </c:pt>
              </c:numCache>
            </c:numRef>
          </c:yVal>
          <c:smooth val="0"/>
          <c:extLst>
            <c:ext xmlns:c16="http://schemas.microsoft.com/office/drawing/2014/chart" uri="{C3380CC4-5D6E-409C-BE32-E72D297353CC}">
              <c16:uniqueId val="{00000005-7992-45A0-8FFE-9E8059796F77}"/>
            </c:ext>
          </c:extLst>
        </c:ser>
        <c:ser>
          <c:idx val="4"/>
          <c:order val="4"/>
          <c:spPr>
            <a:ln w="3175">
              <a:solidFill>
                <a:srgbClr val="000000"/>
              </a:solidFill>
              <a:prstDash val="lgDashDot"/>
            </a:ln>
          </c:spPr>
          <c:marker>
            <c:symbol val="none"/>
          </c:marker>
          <c:xVal>
            <c:numRef>
              <c:f>Stat_Poeira!$AA$161:$AA$162</c:f>
              <c:numCache>
                <c:formatCode>0.000</c:formatCode>
                <c:ptCount val="2"/>
                <c:pt idx="0">
                  <c:v>0</c:v>
                </c:pt>
                <c:pt idx="1">
                  <c:v>0</c:v>
                </c:pt>
              </c:numCache>
            </c:numRef>
          </c:xVal>
          <c:yVal>
            <c:numRef>
              <c:f>Stat_Poeira!$AB$161:$AB$162</c:f>
              <c:numCache>
                <c:formatCode>General</c:formatCode>
                <c:ptCount val="2"/>
                <c:pt idx="0">
                  <c:v>0</c:v>
                </c:pt>
                <c:pt idx="1">
                  <c:v>0</c:v>
                </c:pt>
              </c:numCache>
            </c:numRef>
          </c:yVal>
          <c:smooth val="0"/>
          <c:extLst>
            <c:ext xmlns:c16="http://schemas.microsoft.com/office/drawing/2014/chart" uri="{C3380CC4-5D6E-409C-BE32-E72D297353CC}">
              <c16:uniqueId val="{00000006-7992-45A0-8FFE-9E8059796F77}"/>
            </c:ext>
          </c:extLst>
        </c:ser>
        <c:dLbls>
          <c:showLegendKey val="0"/>
          <c:showVal val="0"/>
          <c:showCatName val="0"/>
          <c:showSerName val="0"/>
          <c:showPercent val="0"/>
          <c:showBubbleSize val="0"/>
        </c:dLbls>
        <c:axId val="604389384"/>
        <c:axId val="1"/>
      </c:scatterChart>
      <c:valAx>
        <c:axId val="6043893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604389384"/>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Header>&amp;F</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pt-BR"/>
              <a:t>Sequential Data Plot</a:t>
            </a:r>
          </a:p>
        </c:rich>
      </c:tx>
      <c:layout>
        <c:manualLayout>
          <c:xMode val="edge"/>
          <c:yMode val="edge"/>
          <c:x val="0.22175732217573221"/>
          <c:y val="3.4187926509186353E-2"/>
        </c:manualLayout>
      </c:layout>
      <c:overlay val="0"/>
      <c:spPr>
        <a:noFill/>
        <a:ln w="25400">
          <a:noFill/>
        </a:ln>
      </c:spPr>
    </c:title>
    <c:autoTitleDeleted val="0"/>
    <c:plotArea>
      <c:layout>
        <c:manualLayout>
          <c:layoutTarget val="inner"/>
          <c:xMode val="edge"/>
          <c:yMode val="edge"/>
          <c:x val="0.20920502092050208"/>
          <c:y val="0.17094017094017094"/>
          <c:w val="0.73640167364016884"/>
          <c:h val="0.6752136752136767"/>
        </c:manualLayout>
      </c:layout>
      <c:scatterChart>
        <c:scatterStyle val="lineMarker"/>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xVal>
            <c:numRef>
              <c:f>Stat_Poeira!$I$74:$I$123</c:f>
              <c:numCache>
                <c:formatCode>General</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xVal>
          <c:yVal>
            <c:numRef>
              <c:f>Stat_Poeira!$J$74:$J$123</c:f>
              <c:numCache>
                <c:formatCode>General</c:formatCode>
                <c:ptCount val="50"/>
                <c:pt idx="0">
                  <c:v>0</c:v>
                </c:pt>
                <c:pt idx="1">
                  <c:v>0</c:v>
                </c:pt>
                <c:pt idx="2">
                  <c:v>0</c:v>
                </c:pt>
                <c:pt idx="3">
                  <c:v>0</c:v>
                </c:pt>
                <c:pt idx="4">
                  <c:v>0</c:v>
                </c:pt>
                <c:pt idx="5">
                  <c:v>0</c:v>
                </c:pt>
                <c:pt idx="6">
                  <c:v>0</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0-F408-4B0E-BE53-B0EE17C3E6CF}"/>
            </c:ext>
          </c:extLst>
        </c:ser>
        <c:dLbls>
          <c:showLegendKey val="0"/>
          <c:showVal val="0"/>
          <c:showCatName val="0"/>
          <c:showSerName val="0"/>
          <c:showPercent val="0"/>
          <c:showBubbleSize val="0"/>
        </c:dLbls>
        <c:axId val="463586120"/>
        <c:axId val="1"/>
      </c:scatterChart>
      <c:valAx>
        <c:axId val="46358612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pt-BR"/>
                  <a:t>Sample Number</a:t>
                </a:r>
              </a:p>
            </c:rich>
          </c:tx>
          <c:layout>
            <c:manualLayout>
              <c:xMode val="edge"/>
              <c:yMode val="edge"/>
              <c:x val="0.38493723849372385"/>
              <c:y val="0.9230770153730782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800" b="1" i="0" u="none" strike="noStrike" baseline="0">
                    <a:solidFill>
                      <a:srgbClr val="000000"/>
                    </a:solidFill>
                    <a:latin typeface="Arial"/>
                    <a:ea typeface="Arial"/>
                    <a:cs typeface="Arial"/>
                  </a:defRPr>
                </a:pPr>
                <a:r>
                  <a:rPr lang="pt-BR"/>
                  <a:t>Concentration</a:t>
                </a:r>
              </a:p>
            </c:rich>
          </c:tx>
          <c:layout>
            <c:manualLayout>
              <c:xMode val="edge"/>
              <c:yMode val="edge"/>
              <c:x val="2.9288702928870293E-2"/>
              <c:y val="0.3903133108361454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463586120"/>
        <c:crosses val="autoZero"/>
        <c:crossBetween val="midCat"/>
      </c:valAx>
      <c:spPr>
        <a:solidFill>
          <a:srgbClr val="C0C0C0"/>
        </a:solidFill>
        <a:ln w="12700">
          <a:solidFill>
            <a:srgbClr val="808080"/>
          </a:solidFill>
          <a:prstDash val="solid"/>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78451905378523E-2"/>
          <c:y val="9.5652173913043689E-2"/>
          <c:w val="0.8701001218312493"/>
          <c:h val="0.76086956521739135"/>
        </c:manualLayout>
      </c:layout>
      <c:scatterChart>
        <c:scatterStyle val="lineMarker"/>
        <c:varyColors val="0"/>
        <c:ser>
          <c:idx val="0"/>
          <c:order val="0"/>
          <c:spPr>
            <a:ln w="12700">
              <a:solidFill>
                <a:srgbClr val="FF0000"/>
              </a:solidFill>
              <a:prstDash val="solid"/>
            </a:ln>
          </c:spPr>
          <c:marker>
            <c:symbol val="none"/>
          </c:marker>
          <c:xVal>
            <c:numRef>
              <c:f>Stat_Poeira!$A$161:$A$260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Stat_Poeira!$B$161:$B$260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299E-4F98-B39B-544E3F4A17F1}"/>
            </c:ext>
          </c:extLst>
        </c:ser>
        <c:ser>
          <c:idx val="1"/>
          <c:order val="1"/>
          <c:spPr>
            <a:ln w="12700">
              <a:solidFill>
                <a:srgbClr val="000000"/>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299E-4F98-B39B-544E3F4A17F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Stat_Poeira!$U$161:$U$162</c:f>
              <c:numCache>
                <c:formatCode>0.000</c:formatCode>
                <c:ptCount val="2"/>
                <c:pt idx="0">
                  <c:v>0</c:v>
                </c:pt>
                <c:pt idx="1">
                  <c:v>0</c:v>
                </c:pt>
              </c:numCache>
            </c:numRef>
          </c:xVal>
          <c:yVal>
            <c:numRef>
              <c:f>Stat_Poeira!$V$161:$V$162</c:f>
              <c:numCache>
                <c:formatCode>General</c:formatCode>
                <c:ptCount val="2"/>
                <c:pt idx="0">
                  <c:v>0</c:v>
                </c:pt>
                <c:pt idx="1">
                  <c:v>0</c:v>
                </c:pt>
              </c:numCache>
            </c:numRef>
          </c:yVal>
          <c:smooth val="0"/>
          <c:extLst>
            <c:ext xmlns:c16="http://schemas.microsoft.com/office/drawing/2014/chart" uri="{C3380CC4-5D6E-409C-BE32-E72D297353CC}">
              <c16:uniqueId val="{00000002-299E-4F98-B39B-544E3F4A17F1}"/>
            </c:ext>
          </c:extLst>
        </c:ser>
        <c:ser>
          <c:idx val="2"/>
          <c:order val="2"/>
          <c:spPr>
            <a:ln w="12700">
              <a:solidFill>
                <a:srgbClr val="0000FF"/>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299E-4F98-B39B-544E3F4A17F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Stat_Poeira!$W$161:$W$162</c:f>
              <c:numCache>
                <c:formatCode>0.000</c:formatCode>
                <c:ptCount val="2"/>
                <c:pt idx="0">
                  <c:v>0</c:v>
                </c:pt>
                <c:pt idx="1">
                  <c:v>0</c:v>
                </c:pt>
              </c:numCache>
            </c:numRef>
          </c:xVal>
          <c:yVal>
            <c:numRef>
              <c:f>Stat_Poeira!$X$161:$X$162</c:f>
              <c:numCache>
                <c:formatCode>General</c:formatCode>
                <c:ptCount val="2"/>
                <c:pt idx="0">
                  <c:v>0</c:v>
                </c:pt>
                <c:pt idx="1">
                  <c:v>0</c:v>
                </c:pt>
              </c:numCache>
            </c:numRef>
          </c:yVal>
          <c:smooth val="0"/>
          <c:extLst>
            <c:ext xmlns:c16="http://schemas.microsoft.com/office/drawing/2014/chart" uri="{C3380CC4-5D6E-409C-BE32-E72D297353CC}">
              <c16:uniqueId val="{00000004-299E-4F98-B39B-544E3F4A17F1}"/>
            </c:ext>
          </c:extLst>
        </c:ser>
        <c:ser>
          <c:idx val="3"/>
          <c:order val="3"/>
          <c:spPr>
            <a:ln w="3175">
              <a:solidFill>
                <a:srgbClr val="000000"/>
              </a:solidFill>
              <a:prstDash val="lgDashDot"/>
            </a:ln>
          </c:spPr>
          <c:marker>
            <c:symbol val="none"/>
          </c:marker>
          <c:xVal>
            <c:numRef>
              <c:f>Stat_Poeira!$Y$161:$Y$162</c:f>
              <c:numCache>
                <c:formatCode>0.000</c:formatCode>
                <c:ptCount val="2"/>
                <c:pt idx="0">
                  <c:v>0</c:v>
                </c:pt>
                <c:pt idx="1">
                  <c:v>0</c:v>
                </c:pt>
              </c:numCache>
            </c:numRef>
          </c:xVal>
          <c:yVal>
            <c:numRef>
              <c:f>Stat_Poeira!$Z$161:$Z$162</c:f>
              <c:numCache>
                <c:formatCode>General</c:formatCode>
                <c:ptCount val="2"/>
                <c:pt idx="0">
                  <c:v>0</c:v>
                </c:pt>
                <c:pt idx="1">
                  <c:v>0</c:v>
                </c:pt>
              </c:numCache>
            </c:numRef>
          </c:yVal>
          <c:smooth val="0"/>
          <c:extLst>
            <c:ext xmlns:c16="http://schemas.microsoft.com/office/drawing/2014/chart" uri="{C3380CC4-5D6E-409C-BE32-E72D297353CC}">
              <c16:uniqueId val="{00000005-299E-4F98-B39B-544E3F4A17F1}"/>
            </c:ext>
          </c:extLst>
        </c:ser>
        <c:ser>
          <c:idx val="4"/>
          <c:order val="4"/>
          <c:spPr>
            <a:ln w="3175">
              <a:solidFill>
                <a:srgbClr val="000000"/>
              </a:solidFill>
              <a:prstDash val="lgDashDot"/>
            </a:ln>
          </c:spPr>
          <c:marker>
            <c:symbol val="none"/>
          </c:marker>
          <c:xVal>
            <c:numRef>
              <c:f>Stat_Poeira!$AA$161:$AA$162</c:f>
              <c:numCache>
                <c:formatCode>0.000</c:formatCode>
                <c:ptCount val="2"/>
                <c:pt idx="0">
                  <c:v>0</c:v>
                </c:pt>
                <c:pt idx="1">
                  <c:v>0</c:v>
                </c:pt>
              </c:numCache>
            </c:numRef>
          </c:xVal>
          <c:yVal>
            <c:numRef>
              <c:f>Stat_Poeira!$AB$161:$AB$162</c:f>
              <c:numCache>
                <c:formatCode>General</c:formatCode>
                <c:ptCount val="2"/>
                <c:pt idx="0">
                  <c:v>0</c:v>
                </c:pt>
                <c:pt idx="1">
                  <c:v>0</c:v>
                </c:pt>
              </c:numCache>
            </c:numRef>
          </c:yVal>
          <c:smooth val="0"/>
          <c:extLst>
            <c:ext xmlns:c16="http://schemas.microsoft.com/office/drawing/2014/chart" uri="{C3380CC4-5D6E-409C-BE32-E72D297353CC}">
              <c16:uniqueId val="{00000006-299E-4F98-B39B-544E3F4A17F1}"/>
            </c:ext>
          </c:extLst>
        </c:ser>
        <c:dLbls>
          <c:showLegendKey val="0"/>
          <c:showVal val="0"/>
          <c:showCatName val="0"/>
          <c:showSerName val="0"/>
          <c:showPercent val="0"/>
          <c:showBubbleSize val="0"/>
        </c:dLbls>
        <c:axId val="605119344"/>
        <c:axId val="1"/>
      </c:scatterChart>
      <c:valAx>
        <c:axId val="60511934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605119344"/>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0.98425196899999956" l="0.78740157499999996" r="0.78740157499999996" t="0.98425196899999956" header="0.49212598500000088" footer="0.49212598500000088"/>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78451905378523E-2"/>
          <c:y val="9.5652173913043689E-2"/>
          <c:w val="0.8701001218312493"/>
          <c:h val="0.76086956521739135"/>
        </c:manualLayout>
      </c:layout>
      <c:scatterChart>
        <c:scatterStyle val="lineMarker"/>
        <c:varyColors val="0"/>
        <c:ser>
          <c:idx val="0"/>
          <c:order val="0"/>
          <c:spPr>
            <a:ln w="12700">
              <a:solidFill>
                <a:srgbClr val="FF0000"/>
              </a:solidFill>
              <a:prstDash val="solid"/>
            </a:ln>
          </c:spPr>
          <c:marker>
            <c:symbol val="none"/>
          </c:marker>
          <c:xVal>
            <c:numRef>
              <c:f>Stat_Poeira!$A$161:$A$260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Stat_Poeira!$B$161:$B$260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0373-4899-B615-088B3A232F8A}"/>
            </c:ext>
          </c:extLst>
        </c:ser>
        <c:ser>
          <c:idx val="1"/>
          <c:order val="1"/>
          <c:spPr>
            <a:ln w="12700">
              <a:solidFill>
                <a:srgbClr val="000000"/>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0373-4899-B615-088B3A232F8A}"/>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Stat_Poeira!$U$161:$U$162</c:f>
              <c:numCache>
                <c:formatCode>0.000</c:formatCode>
                <c:ptCount val="2"/>
                <c:pt idx="0">
                  <c:v>0</c:v>
                </c:pt>
                <c:pt idx="1">
                  <c:v>0</c:v>
                </c:pt>
              </c:numCache>
            </c:numRef>
          </c:xVal>
          <c:yVal>
            <c:numRef>
              <c:f>Stat_Poeira!$V$161:$V$162</c:f>
              <c:numCache>
                <c:formatCode>General</c:formatCode>
                <c:ptCount val="2"/>
                <c:pt idx="0">
                  <c:v>0</c:v>
                </c:pt>
                <c:pt idx="1">
                  <c:v>0</c:v>
                </c:pt>
              </c:numCache>
            </c:numRef>
          </c:yVal>
          <c:smooth val="0"/>
          <c:extLst>
            <c:ext xmlns:c16="http://schemas.microsoft.com/office/drawing/2014/chart" uri="{C3380CC4-5D6E-409C-BE32-E72D297353CC}">
              <c16:uniqueId val="{00000002-0373-4899-B615-088B3A232F8A}"/>
            </c:ext>
          </c:extLst>
        </c:ser>
        <c:ser>
          <c:idx val="2"/>
          <c:order val="2"/>
          <c:spPr>
            <a:ln w="12700">
              <a:solidFill>
                <a:srgbClr val="0000FF"/>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0373-4899-B615-088B3A232F8A}"/>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Stat_Poeira!$W$161:$W$162</c:f>
              <c:numCache>
                <c:formatCode>0.000</c:formatCode>
                <c:ptCount val="2"/>
                <c:pt idx="0">
                  <c:v>0</c:v>
                </c:pt>
                <c:pt idx="1">
                  <c:v>0</c:v>
                </c:pt>
              </c:numCache>
            </c:numRef>
          </c:xVal>
          <c:yVal>
            <c:numRef>
              <c:f>Stat_Poeira!$X$161:$X$162</c:f>
              <c:numCache>
                <c:formatCode>General</c:formatCode>
                <c:ptCount val="2"/>
                <c:pt idx="0">
                  <c:v>0</c:v>
                </c:pt>
                <c:pt idx="1">
                  <c:v>0</c:v>
                </c:pt>
              </c:numCache>
            </c:numRef>
          </c:yVal>
          <c:smooth val="0"/>
          <c:extLst>
            <c:ext xmlns:c16="http://schemas.microsoft.com/office/drawing/2014/chart" uri="{C3380CC4-5D6E-409C-BE32-E72D297353CC}">
              <c16:uniqueId val="{00000004-0373-4899-B615-088B3A232F8A}"/>
            </c:ext>
          </c:extLst>
        </c:ser>
        <c:ser>
          <c:idx val="3"/>
          <c:order val="3"/>
          <c:spPr>
            <a:ln w="3175">
              <a:solidFill>
                <a:srgbClr val="000000"/>
              </a:solidFill>
              <a:prstDash val="lgDashDot"/>
            </a:ln>
          </c:spPr>
          <c:marker>
            <c:symbol val="none"/>
          </c:marker>
          <c:xVal>
            <c:numRef>
              <c:f>Stat_Poeira!$Y$161:$Y$162</c:f>
              <c:numCache>
                <c:formatCode>0.000</c:formatCode>
                <c:ptCount val="2"/>
                <c:pt idx="0">
                  <c:v>0</c:v>
                </c:pt>
                <c:pt idx="1">
                  <c:v>0</c:v>
                </c:pt>
              </c:numCache>
            </c:numRef>
          </c:xVal>
          <c:yVal>
            <c:numRef>
              <c:f>Stat_Poeira!$Z$161:$Z$162</c:f>
              <c:numCache>
                <c:formatCode>General</c:formatCode>
                <c:ptCount val="2"/>
                <c:pt idx="0">
                  <c:v>0</c:v>
                </c:pt>
                <c:pt idx="1">
                  <c:v>0</c:v>
                </c:pt>
              </c:numCache>
            </c:numRef>
          </c:yVal>
          <c:smooth val="0"/>
          <c:extLst>
            <c:ext xmlns:c16="http://schemas.microsoft.com/office/drawing/2014/chart" uri="{C3380CC4-5D6E-409C-BE32-E72D297353CC}">
              <c16:uniqueId val="{00000005-0373-4899-B615-088B3A232F8A}"/>
            </c:ext>
          </c:extLst>
        </c:ser>
        <c:ser>
          <c:idx val="4"/>
          <c:order val="4"/>
          <c:spPr>
            <a:ln w="3175">
              <a:solidFill>
                <a:srgbClr val="000000"/>
              </a:solidFill>
              <a:prstDash val="lgDashDot"/>
            </a:ln>
          </c:spPr>
          <c:marker>
            <c:symbol val="none"/>
          </c:marker>
          <c:xVal>
            <c:numRef>
              <c:f>Stat_Poeira!$AA$161:$AA$162</c:f>
              <c:numCache>
                <c:formatCode>0.000</c:formatCode>
                <c:ptCount val="2"/>
                <c:pt idx="0">
                  <c:v>0</c:v>
                </c:pt>
                <c:pt idx="1">
                  <c:v>0</c:v>
                </c:pt>
              </c:numCache>
            </c:numRef>
          </c:xVal>
          <c:yVal>
            <c:numRef>
              <c:f>Stat_Poeira!$AB$161:$AB$162</c:f>
              <c:numCache>
                <c:formatCode>General</c:formatCode>
                <c:ptCount val="2"/>
                <c:pt idx="0">
                  <c:v>0</c:v>
                </c:pt>
                <c:pt idx="1">
                  <c:v>0</c:v>
                </c:pt>
              </c:numCache>
            </c:numRef>
          </c:yVal>
          <c:smooth val="0"/>
          <c:extLst>
            <c:ext xmlns:c16="http://schemas.microsoft.com/office/drawing/2014/chart" uri="{C3380CC4-5D6E-409C-BE32-E72D297353CC}">
              <c16:uniqueId val="{00000006-0373-4899-B615-088B3A232F8A}"/>
            </c:ext>
          </c:extLst>
        </c:ser>
        <c:dLbls>
          <c:showLegendKey val="0"/>
          <c:showVal val="0"/>
          <c:showCatName val="0"/>
          <c:showSerName val="0"/>
          <c:showPercent val="0"/>
          <c:showBubbleSize val="0"/>
        </c:dLbls>
        <c:axId val="563519432"/>
        <c:axId val="1"/>
      </c:scatterChart>
      <c:valAx>
        <c:axId val="5635194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563519432"/>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0.98425196899999956" l="0.78740157499999996" r="0.78740157499999996" t="0.98425196899999956" header="0.49212598500000088" footer="0.49212598500000088"/>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Probability Plot and Least Squares Best Fit Line</a:t>
            </a:r>
          </a:p>
        </c:rich>
      </c:tx>
      <c:layout>
        <c:manualLayout>
          <c:xMode val="edge"/>
          <c:yMode val="edge"/>
          <c:x val="0.17282187071748775"/>
          <c:y val="3.2258064516129031E-2"/>
        </c:manualLayout>
      </c:layout>
      <c:overlay val="0"/>
      <c:spPr>
        <a:noFill/>
        <a:ln w="25400">
          <a:noFill/>
        </a:ln>
      </c:spPr>
    </c:title>
    <c:autoTitleDeleted val="0"/>
    <c:plotArea>
      <c:layout>
        <c:manualLayout>
          <c:layoutTarget val="inner"/>
          <c:xMode val="edge"/>
          <c:yMode val="edge"/>
          <c:x val="9.3057875559325542E-2"/>
          <c:y val="0.10173697270471477"/>
          <c:w val="0.81536424299599253"/>
          <c:h val="0.77667493796526155"/>
        </c:manualLayout>
      </c:layout>
      <c:scatterChart>
        <c:scatterStyle val="lineMarker"/>
        <c:varyColors val="0"/>
        <c:ser>
          <c:idx val="1"/>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E756-481F-A20F-2D50D4B3ED46}"/>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E756-481F-A20F-2D50D4B3ED46}"/>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E756-481F-A20F-2D50D4B3ED46}"/>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E756-481F-A20F-2D50D4B3ED46}"/>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E756-481F-A20F-2D50D4B3ED46}"/>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E756-481F-A20F-2D50D4B3ED46}"/>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E756-481F-A20F-2D50D4B3ED46}"/>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E756-481F-A20F-2D50D4B3ED46}"/>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E756-481F-A20F-2D50D4B3ED46}"/>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E756-481F-A20F-2D50D4B3ED46}"/>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E756-481F-A20F-2D50D4B3ED46}"/>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E756-481F-A20F-2D50D4B3ED46}"/>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E756-481F-A20F-2D50D4B3ED46}"/>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Stat_Ruido!$F$10:$F$22</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Stat_Ruido!$G$10:$G$22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E756-481F-A20F-2D50D4B3ED46}"/>
            </c:ext>
          </c:extLst>
        </c:ser>
        <c:ser>
          <c:idx val="2"/>
          <c:order val="1"/>
          <c:spPr>
            <a:ln w="12700">
              <a:solidFill>
                <a:srgbClr val="0000FF"/>
              </a:solidFill>
              <a:prstDash val="solid"/>
            </a:ln>
          </c:spPr>
          <c:marker>
            <c:symbol val="none"/>
          </c:marker>
          <c:xVal>
            <c:numRef>
              <c:f>Stat_Ruido!$W$69:$W$70</c:f>
              <c:numCache>
                <c:formatCode>0.00</c:formatCode>
                <c:ptCount val="2"/>
                <c:pt idx="0">
                  <c:v>0</c:v>
                </c:pt>
                <c:pt idx="1">
                  <c:v>0</c:v>
                </c:pt>
              </c:numCache>
            </c:numRef>
          </c:xVal>
          <c:yVal>
            <c:numRef>
              <c:f>Stat_Ruido!$X$69:$X$70</c:f>
              <c:numCache>
                <c:formatCode>General</c:formatCode>
                <c:ptCount val="2"/>
                <c:pt idx="0">
                  <c:v>2.5</c:v>
                </c:pt>
                <c:pt idx="1">
                  <c:v>7.33</c:v>
                </c:pt>
              </c:numCache>
            </c:numRef>
          </c:yVal>
          <c:smooth val="0"/>
          <c:extLst>
            <c:ext xmlns:c16="http://schemas.microsoft.com/office/drawing/2014/chart" uri="{C3380CC4-5D6E-409C-BE32-E72D297353CC}">
              <c16:uniqueId val="{0000000E-E756-481F-A20F-2D50D4B3ED46}"/>
            </c:ext>
          </c:extLst>
        </c:ser>
        <c:ser>
          <c:idx val="3"/>
          <c:order val="2"/>
          <c:spPr>
            <a:ln w="28575">
              <a:noFill/>
            </a:ln>
          </c:spPr>
          <c:marker>
            <c:symbol val="square"/>
            <c:size val="5"/>
            <c:spPr>
              <a:solidFill>
                <a:srgbClr val="FFFF00"/>
              </a:solidFill>
              <a:ln>
                <a:solidFill>
                  <a:srgbClr val="000000"/>
                </a:solidFill>
                <a:prstDash val="solid"/>
              </a:ln>
            </c:spPr>
          </c:marker>
          <c:xVal>
            <c:numRef>
              <c:f>Stat_Ruido!$N$74:$N$123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Stat_Ruido!$P$74:$P$123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E756-481F-A20F-2D50D4B3ED46}"/>
            </c:ext>
          </c:extLst>
        </c:ser>
        <c:ser>
          <c:idx val="4"/>
          <c:order val="3"/>
          <c:spPr>
            <a:ln w="28575">
              <a:noFill/>
            </a:ln>
          </c:spPr>
          <c:marker>
            <c:symbol val="square"/>
            <c:size val="5"/>
            <c:spPr>
              <a:solidFill>
                <a:srgbClr val="FF00FF"/>
              </a:solidFill>
              <a:ln>
                <a:solidFill>
                  <a:srgbClr val="000000"/>
                </a:solidFill>
                <a:prstDash val="solid"/>
              </a:ln>
            </c:spPr>
          </c:marker>
          <c:xVal>
            <c:numRef>
              <c:f>Stat_Ruido!$N$74:$N$123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Stat_Ruido!$O$74:$O$123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10-E756-481F-A20F-2D50D4B3ED46}"/>
            </c:ext>
          </c:extLst>
        </c:ser>
        <c:dLbls>
          <c:showLegendKey val="0"/>
          <c:showVal val="0"/>
          <c:showCatName val="0"/>
          <c:showSerName val="0"/>
          <c:showPercent val="0"/>
          <c:showBubbleSize val="0"/>
        </c:dLbls>
        <c:axId val="463583240"/>
        <c:axId val="1"/>
      </c:scatterChart>
      <c:valAx>
        <c:axId val="463583240"/>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000" b="1" i="0" u="none" strike="noStrike" baseline="0">
                    <a:solidFill>
                      <a:srgbClr val="000000"/>
                    </a:solidFill>
                    <a:latin typeface="Geneva"/>
                    <a:ea typeface="Geneva"/>
                    <a:cs typeface="Geneva"/>
                  </a:defRPr>
                </a:pPr>
                <a:r>
                  <a:rPr lang="pt-BR"/>
                  <a:t>Concentration</a:t>
                </a:r>
              </a:p>
            </c:rich>
          </c:tx>
          <c:layout>
            <c:manualLayout>
              <c:xMode val="edge"/>
              <c:yMode val="edge"/>
              <c:x val="0.29689917078949202"/>
              <c:y val="0.9330024813895782"/>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463583240"/>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Log-Probability Plot and Least Squares Best Fit Line</a:t>
            </a:r>
          </a:p>
        </c:rich>
      </c:tx>
      <c:layout>
        <c:manualLayout>
          <c:xMode val="edge"/>
          <c:yMode val="edge"/>
          <c:x val="0.14069673109043188"/>
          <c:y val="3.2345037951337169E-2"/>
        </c:manualLayout>
      </c:layout>
      <c:overlay val="0"/>
      <c:spPr>
        <a:noFill/>
        <a:ln w="25400">
          <a:noFill/>
        </a:ln>
      </c:spPr>
    </c:title>
    <c:autoTitleDeleted val="0"/>
    <c:plotArea>
      <c:layout>
        <c:manualLayout>
          <c:layoutTarget val="inner"/>
          <c:xMode val="edge"/>
          <c:yMode val="edge"/>
          <c:x val="0.14069674674231036"/>
          <c:y val="0.20754716981132135"/>
          <c:w val="0.72163815264604325"/>
          <c:h val="0.67115902964959817"/>
        </c:manualLayout>
      </c:layout>
      <c:scatterChart>
        <c:scatterStyle val="lineMarker"/>
        <c:varyColors val="0"/>
        <c:ser>
          <c:idx val="0"/>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5B38-43F4-8899-2CE70005ACBF}"/>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5B38-43F4-8899-2CE70005ACBF}"/>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5B38-43F4-8899-2CE70005ACBF}"/>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5B38-43F4-8899-2CE70005ACBF}"/>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5B38-43F4-8899-2CE70005ACBF}"/>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5B38-43F4-8899-2CE70005ACBF}"/>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5B38-43F4-8899-2CE70005ACBF}"/>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5B38-43F4-8899-2CE70005ACBF}"/>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5B38-43F4-8899-2CE70005ACBF}"/>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5B38-43F4-8899-2CE70005ACBF}"/>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5B38-43F4-8899-2CE70005ACBF}"/>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5B38-43F4-8899-2CE70005ACBF}"/>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5B38-43F4-8899-2CE70005ACB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Stat_Ruido!$D$10:$D$22</c:f>
              <c:numCache>
                <c:formatCode>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Stat_Ruido!$E$10:$E$22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5B38-43F4-8899-2CE70005ACBF}"/>
            </c:ext>
          </c:extLst>
        </c:ser>
        <c:ser>
          <c:idx val="1"/>
          <c:order val="1"/>
          <c:spPr>
            <a:ln w="12700">
              <a:solidFill>
                <a:srgbClr val="00FF00"/>
              </a:solidFill>
              <a:prstDash val="solid"/>
            </a:ln>
          </c:spPr>
          <c:marker>
            <c:symbol val="none"/>
          </c:marker>
          <c:xVal>
            <c:numRef>
              <c:f>Stat_Ruido!$W$78:$W$79</c:f>
              <c:numCache>
                <c:formatCode>0.00</c:formatCode>
                <c:ptCount val="2"/>
                <c:pt idx="0">
                  <c:v>0</c:v>
                </c:pt>
                <c:pt idx="1">
                  <c:v>0</c:v>
                </c:pt>
              </c:numCache>
            </c:numRef>
          </c:xVal>
          <c:yVal>
            <c:numRef>
              <c:f>Stat_Ruido!$X$78:$X$79</c:f>
              <c:numCache>
                <c:formatCode>General</c:formatCode>
                <c:ptCount val="2"/>
                <c:pt idx="0">
                  <c:v>2.5</c:v>
                </c:pt>
                <c:pt idx="1">
                  <c:v>7.33</c:v>
                </c:pt>
              </c:numCache>
            </c:numRef>
          </c:yVal>
          <c:smooth val="0"/>
          <c:extLst>
            <c:ext xmlns:c16="http://schemas.microsoft.com/office/drawing/2014/chart" uri="{C3380CC4-5D6E-409C-BE32-E72D297353CC}">
              <c16:uniqueId val="{0000000E-5B38-43F4-8899-2CE70005ACBF}"/>
            </c:ext>
          </c:extLst>
        </c:ser>
        <c:ser>
          <c:idx val="2"/>
          <c:order val="2"/>
          <c:spPr>
            <a:ln w="28575">
              <a:noFill/>
            </a:ln>
          </c:spPr>
          <c:marker>
            <c:symbol val="square"/>
            <c:size val="5"/>
            <c:spPr>
              <a:solidFill>
                <a:srgbClr val="0000FF"/>
              </a:solidFill>
              <a:ln>
                <a:solidFill>
                  <a:srgbClr val="000000"/>
                </a:solidFill>
                <a:prstDash val="solid"/>
              </a:ln>
            </c:spPr>
          </c:marker>
          <c:xVal>
            <c:numRef>
              <c:f>Stat_Ruido!$N$74:$N$123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Stat_Ruido!$O$74:$O$123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5B38-43F4-8899-2CE70005ACBF}"/>
            </c:ext>
          </c:extLst>
        </c:ser>
        <c:dLbls>
          <c:showLegendKey val="0"/>
          <c:showVal val="0"/>
          <c:showCatName val="0"/>
          <c:showSerName val="0"/>
          <c:showPercent val="0"/>
          <c:showBubbleSize val="0"/>
        </c:dLbls>
        <c:axId val="463809816"/>
        <c:axId val="1"/>
      </c:scatterChart>
      <c:valAx>
        <c:axId val="463809816"/>
        <c:scaling>
          <c:logBase val="10"/>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numFmt formatCode="0"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463809816"/>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4824752434564654"/>
          <c:y val="6.5601561190999497E-2"/>
          <c:w val="0.64376052923532068"/>
          <c:h val="0.82001951488749369"/>
        </c:manualLayout>
      </c:layout>
      <c:scatterChart>
        <c:scatterStyle val="lineMarker"/>
        <c:varyColors val="0"/>
        <c:ser>
          <c:idx val="0"/>
          <c:order val="0"/>
          <c:spPr>
            <a:ln w="12700">
              <a:solidFill>
                <a:srgbClr val="FF0000"/>
              </a:solidFill>
              <a:prstDash val="solid"/>
            </a:ln>
          </c:spPr>
          <c:marker>
            <c:symbol val="none"/>
          </c:marker>
          <c:xVal>
            <c:numRef>
              <c:f>Stat_Ruido!$A$161:$A$260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Stat_Ruido!$B$161:$B$260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A760-4E54-A66E-521E30501D70}"/>
            </c:ext>
          </c:extLst>
        </c:ser>
        <c:ser>
          <c:idx val="1"/>
          <c:order val="1"/>
          <c:spPr>
            <a:ln w="12700">
              <a:solidFill>
                <a:srgbClr val="000000"/>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760-4E54-A66E-521E30501D7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Stat_Ruido!$U$161:$U$162</c:f>
              <c:numCache>
                <c:formatCode>0.000</c:formatCode>
                <c:ptCount val="2"/>
                <c:pt idx="0">
                  <c:v>0</c:v>
                </c:pt>
                <c:pt idx="1">
                  <c:v>0</c:v>
                </c:pt>
              </c:numCache>
            </c:numRef>
          </c:xVal>
          <c:yVal>
            <c:numRef>
              <c:f>Stat_Ruido!$V$161:$V$162</c:f>
              <c:numCache>
                <c:formatCode>General</c:formatCode>
                <c:ptCount val="2"/>
                <c:pt idx="0">
                  <c:v>0</c:v>
                </c:pt>
                <c:pt idx="1">
                  <c:v>0</c:v>
                </c:pt>
              </c:numCache>
            </c:numRef>
          </c:yVal>
          <c:smooth val="0"/>
          <c:extLst>
            <c:ext xmlns:c16="http://schemas.microsoft.com/office/drawing/2014/chart" uri="{C3380CC4-5D6E-409C-BE32-E72D297353CC}">
              <c16:uniqueId val="{00000002-A760-4E54-A66E-521E30501D70}"/>
            </c:ext>
          </c:extLst>
        </c:ser>
        <c:ser>
          <c:idx val="2"/>
          <c:order val="2"/>
          <c:spPr>
            <a:ln w="12700">
              <a:solidFill>
                <a:srgbClr val="0000FF"/>
              </a:solidFill>
              <a:prstDash val="solid"/>
            </a:ln>
          </c:spPr>
          <c:marker>
            <c:symbol val="none"/>
          </c:marker>
          <c:dLbls>
            <c:dLbl>
              <c:idx val="1"/>
              <c:tx>
                <c:rich>
                  <a:bodyPr/>
                  <a:lstStyle/>
                  <a:p>
                    <a:pPr>
                      <a:defRPr sz="1000" b="0" i="0" u="none" strike="noStrike" baseline="0">
                        <a:solidFill>
                          <a:srgbClr val="000000"/>
                        </a:solidFill>
                        <a:latin typeface="Geneva"/>
                        <a:ea typeface="Geneva"/>
                        <a:cs typeface="Geneva"/>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A760-4E54-A66E-521E30501D70}"/>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Stat_Ruido!$W$161:$W$162</c:f>
              <c:numCache>
                <c:formatCode>0.000</c:formatCode>
                <c:ptCount val="2"/>
                <c:pt idx="0">
                  <c:v>0</c:v>
                </c:pt>
                <c:pt idx="1">
                  <c:v>0</c:v>
                </c:pt>
              </c:numCache>
            </c:numRef>
          </c:xVal>
          <c:yVal>
            <c:numRef>
              <c:f>Stat_Ruido!$X$161:$X$162</c:f>
              <c:numCache>
                <c:formatCode>General</c:formatCode>
                <c:ptCount val="2"/>
                <c:pt idx="0">
                  <c:v>0</c:v>
                </c:pt>
                <c:pt idx="1">
                  <c:v>0</c:v>
                </c:pt>
              </c:numCache>
            </c:numRef>
          </c:yVal>
          <c:smooth val="0"/>
          <c:extLst>
            <c:ext xmlns:c16="http://schemas.microsoft.com/office/drawing/2014/chart" uri="{C3380CC4-5D6E-409C-BE32-E72D297353CC}">
              <c16:uniqueId val="{00000004-A760-4E54-A66E-521E30501D70}"/>
            </c:ext>
          </c:extLst>
        </c:ser>
        <c:ser>
          <c:idx val="3"/>
          <c:order val="3"/>
          <c:spPr>
            <a:ln w="3175">
              <a:solidFill>
                <a:srgbClr val="000000"/>
              </a:solidFill>
              <a:prstDash val="lgDashDot"/>
            </a:ln>
          </c:spPr>
          <c:marker>
            <c:symbol val="none"/>
          </c:marker>
          <c:xVal>
            <c:numRef>
              <c:f>Stat_Ruido!$Y$161:$Y$162</c:f>
              <c:numCache>
                <c:formatCode>0.000</c:formatCode>
                <c:ptCount val="2"/>
                <c:pt idx="0">
                  <c:v>0</c:v>
                </c:pt>
                <c:pt idx="1">
                  <c:v>0</c:v>
                </c:pt>
              </c:numCache>
            </c:numRef>
          </c:xVal>
          <c:yVal>
            <c:numRef>
              <c:f>Stat_Ruido!$Z$161:$Z$162</c:f>
              <c:numCache>
                <c:formatCode>General</c:formatCode>
                <c:ptCount val="2"/>
                <c:pt idx="0">
                  <c:v>0</c:v>
                </c:pt>
                <c:pt idx="1">
                  <c:v>0</c:v>
                </c:pt>
              </c:numCache>
            </c:numRef>
          </c:yVal>
          <c:smooth val="0"/>
          <c:extLst>
            <c:ext xmlns:c16="http://schemas.microsoft.com/office/drawing/2014/chart" uri="{C3380CC4-5D6E-409C-BE32-E72D297353CC}">
              <c16:uniqueId val="{00000005-A760-4E54-A66E-521E30501D70}"/>
            </c:ext>
          </c:extLst>
        </c:ser>
        <c:ser>
          <c:idx val="4"/>
          <c:order val="4"/>
          <c:spPr>
            <a:ln w="3175">
              <a:solidFill>
                <a:srgbClr val="000000"/>
              </a:solidFill>
              <a:prstDash val="lgDashDot"/>
            </a:ln>
          </c:spPr>
          <c:marker>
            <c:symbol val="none"/>
          </c:marker>
          <c:xVal>
            <c:numRef>
              <c:f>Stat_Ruido!$AA$161:$AA$162</c:f>
              <c:numCache>
                <c:formatCode>0.000</c:formatCode>
                <c:ptCount val="2"/>
                <c:pt idx="0">
                  <c:v>0</c:v>
                </c:pt>
                <c:pt idx="1">
                  <c:v>0</c:v>
                </c:pt>
              </c:numCache>
            </c:numRef>
          </c:xVal>
          <c:yVal>
            <c:numRef>
              <c:f>Stat_Ruido!$AB$161:$AB$162</c:f>
              <c:numCache>
                <c:formatCode>General</c:formatCode>
                <c:ptCount val="2"/>
                <c:pt idx="0">
                  <c:v>0</c:v>
                </c:pt>
                <c:pt idx="1">
                  <c:v>0</c:v>
                </c:pt>
              </c:numCache>
            </c:numRef>
          </c:yVal>
          <c:smooth val="0"/>
          <c:extLst>
            <c:ext xmlns:c16="http://schemas.microsoft.com/office/drawing/2014/chart" uri="{C3380CC4-5D6E-409C-BE32-E72D297353CC}">
              <c16:uniqueId val="{00000006-A760-4E54-A66E-521E30501D70}"/>
            </c:ext>
          </c:extLst>
        </c:ser>
        <c:dLbls>
          <c:showLegendKey val="0"/>
          <c:showVal val="0"/>
          <c:showCatName val="0"/>
          <c:showSerName val="0"/>
          <c:showPercent val="0"/>
          <c:showBubbleSize val="0"/>
        </c:dLbls>
        <c:axId val="93730264"/>
        <c:axId val="1"/>
      </c:scatterChart>
      <c:valAx>
        <c:axId val="9373026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93730264"/>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Header>&amp;F</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pt-BR"/>
              <a:t>Sequential Data Plot</a:t>
            </a:r>
          </a:p>
        </c:rich>
      </c:tx>
      <c:layout>
        <c:manualLayout>
          <c:xMode val="edge"/>
          <c:yMode val="edge"/>
          <c:x val="0.22175732217573221"/>
          <c:y val="3.4187926509186353E-2"/>
        </c:manualLayout>
      </c:layout>
      <c:overlay val="0"/>
      <c:spPr>
        <a:noFill/>
        <a:ln w="25400">
          <a:noFill/>
        </a:ln>
      </c:spPr>
    </c:title>
    <c:autoTitleDeleted val="0"/>
    <c:plotArea>
      <c:layout>
        <c:manualLayout>
          <c:layoutTarget val="inner"/>
          <c:xMode val="edge"/>
          <c:yMode val="edge"/>
          <c:x val="0.20920502092050208"/>
          <c:y val="0.17094017094017094"/>
          <c:w val="0.73640167364016884"/>
          <c:h val="0.6752136752136767"/>
        </c:manualLayout>
      </c:layout>
      <c:scatterChart>
        <c:scatterStyle val="lineMarker"/>
        <c:varyColors val="0"/>
        <c:ser>
          <c:idx val="0"/>
          <c:order val="0"/>
          <c:spPr>
            <a:ln w="12700">
              <a:solidFill>
                <a:srgbClr val="000080"/>
              </a:solidFill>
              <a:prstDash val="solid"/>
            </a:ln>
          </c:spPr>
          <c:marker>
            <c:symbol val="diamond"/>
            <c:size val="5"/>
            <c:spPr>
              <a:solidFill>
                <a:srgbClr val="000080"/>
              </a:solidFill>
              <a:ln>
                <a:solidFill>
                  <a:srgbClr val="000080"/>
                </a:solidFill>
                <a:prstDash val="solid"/>
              </a:ln>
            </c:spPr>
          </c:marker>
          <c:xVal>
            <c:numRef>
              <c:f>Stat_Ruido!$I$74:$I$123</c:f>
              <c:numCache>
                <c:formatCode>General</c:formatCode>
                <c:ptCount val="5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numCache>
            </c:numRef>
          </c:xVal>
          <c:yVal>
            <c:numRef>
              <c:f>Stat_Ruido!$J$74:$J$123</c:f>
              <c:numCache>
                <c:formatCode>General</c:formatCode>
                <c:ptCount val="50"/>
                <c:pt idx="0">
                  <c:v>0</c:v>
                </c:pt>
                <c:pt idx="1">
                  <c:v>0</c:v>
                </c:pt>
                <c:pt idx="2">
                  <c:v>0</c:v>
                </c:pt>
                <c:pt idx="3">
                  <c:v>0</c:v>
                </c:pt>
                <c:pt idx="4">
                  <c:v>0</c:v>
                </c:pt>
                <c:pt idx="5">
                  <c:v>0</c:v>
                </c:pt>
                <c:pt idx="6">
                  <c:v>0</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0-8531-4DAF-A431-C4ABAAB68830}"/>
            </c:ext>
          </c:extLst>
        </c:ser>
        <c:dLbls>
          <c:showLegendKey val="0"/>
          <c:showVal val="0"/>
          <c:showCatName val="0"/>
          <c:showSerName val="0"/>
          <c:showPercent val="0"/>
          <c:showBubbleSize val="0"/>
        </c:dLbls>
        <c:axId val="360328376"/>
        <c:axId val="1"/>
      </c:scatterChart>
      <c:valAx>
        <c:axId val="36032837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pt-BR"/>
                  <a:t>Sample Number</a:t>
                </a:r>
              </a:p>
            </c:rich>
          </c:tx>
          <c:layout>
            <c:manualLayout>
              <c:xMode val="edge"/>
              <c:yMode val="edge"/>
              <c:x val="0.38493723849372385"/>
              <c:y val="0.9230770153730782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title>
          <c:tx>
            <c:rich>
              <a:bodyPr/>
              <a:lstStyle/>
              <a:p>
                <a:pPr>
                  <a:defRPr sz="800" b="1" i="0" u="none" strike="noStrike" baseline="0">
                    <a:solidFill>
                      <a:srgbClr val="000000"/>
                    </a:solidFill>
                    <a:latin typeface="Arial"/>
                    <a:ea typeface="Arial"/>
                    <a:cs typeface="Arial"/>
                  </a:defRPr>
                </a:pPr>
                <a:r>
                  <a:rPr lang="pt-BR"/>
                  <a:t>Concentration</a:t>
                </a:r>
              </a:p>
            </c:rich>
          </c:tx>
          <c:layout>
            <c:manualLayout>
              <c:xMode val="edge"/>
              <c:yMode val="edge"/>
              <c:x val="2.9288702928870293E-2"/>
              <c:y val="0.3903133108361454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60328376"/>
        <c:crosses val="autoZero"/>
        <c:crossBetween val="midCat"/>
      </c:valAx>
      <c:spPr>
        <a:solidFill>
          <a:srgbClr val="C0C0C0"/>
        </a:solidFill>
        <a:ln w="12700">
          <a:solidFill>
            <a:srgbClr val="808080"/>
          </a:solidFill>
          <a:prstDash val="solid"/>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oddHeader>&amp;A</c:oddHeader>
      <c:oddFooter>Page &amp;P</c:oddFooter>
    </c:headerFooter>
    <c:pageMargins b="0.98425196899999956" l="0.78740157499999996" r="0.78740157499999996" t="0.98425196899999956" header="0.5" footer="0.5"/>
    <c:pageSetup orientation="landscape" horizontalDpi="300" verticalDpi="300" copies="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133114528549455E-2"/>
          <c:y val="9.8214285714285726E-2"/>
          <c:w val="0.84236554510172656"/>
          <c:h val="0.75446428571428559"/>
        </c:manualLayout>
      </c:layout>
      <c:scatterChart>
        <c:scatterStyle val="lineMarker"/>
        <c:varyColors val="0"/>
        <c:ser>
          <c:idx val="0"/>
          <c:order val="0"/>
          <c:spPr>
            <a:ln w="12700">
              <a:solidFill>
                <a:srgbClr val="FF0000"/>
              </a:solidFill>
              <a:prstDash val="solid"/>
            </a:ln>
          </c:spPr>
          <c:marker>
            <c:symbol val="none"/>
          </c:marker>
          <c:xVal>
            <c:numRef>
              <c:f>Stat_Silica!$A$161:$A$260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Stat_Silica!$B$161:$B$260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D87D-43C5-A99B-11F11D5D1704}"/>
            </c:ext>
          </c:extLst>
        </c:ser>
        <c:ser>
          <c:idx val="1"/>
          <c:order val="1"/>
          <c:spPr>
            <a:ln w="12700">
              <a:solidFill>
                <a:srgbClr val="000000"/>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D87D-43C5-A99B-11F11D5D170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Stat_Silica!$U$161:$U$162</c:f>
              <c:numCache>
                <c:formatCode>0.000</c:formatCode>
                <c:ptCount val="2"/>
                <c:pt idx="0">
                  <c:v>0</c:v>
                </c:pt>
                <c:pt idx="1">
                  <c:v>0</c:v>
                </c:pt>
              </c:numCache>
            </c:numRef>
          </c:xVal>
          <c:yVal>
            <c:numRef>
              <c:f>Stat_Silica!$V$161:$V$162</c:f>
              <c:numCache>
                <c:formatCode>General</c:formatCode>
                <c:ptCount val="2"/>
                <c:pt idx="0">
                  <c:v>0</c:v>
                </c:pt>
                <c:pt idx="1">
                  <c:v>0</c:v>
                </c:pt>
              </c:numCache>
            </c:numRef>
          </c:yVal>
          <c:smooth val="0"/>
          <c:extLst>
            <c:ext xmlns:c16="http://schemas.microsoft.com/office/drawing/2014/chart" uri="{C3380CC4-5D6E-409C-BE32-E72D297353CC}">
              <c16:uniqueId val="{00000002-D87D-43C5-A99B-11F11D5D1704}"/>
            </c:ext>
          </c:extLst>
        </c:ser>
        <c:ser>
          <c:idx val="2"/>
          <c:order val="2"/>
          <c:spPr>
            <a:ln w="12700">
              <a:solidFill>
                <a:srgbClr val="0000FF"/>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D87D-43C5-A99B-11F11D5D170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Stat_Silica!$W$161:$W$162</c:f>
              <c:numCache>
                <c:formatCode>0.000</c:formatCode>
                <c:ptCount val="2"/>
                <c:pt idx="0">
                  <c:v>0</c:v>
                </c:pt>
                <c:pt idx="1">
                  <c:v>0</c:v>
                </c:pt>
              </c:numCache>
            </c:numRef>
          </c:xVal>
          <c:yVal>
            <c:numRef>
              <c:f>Stat_Silica!$X$161:$X$162</c:f>
              <c:numCache>
                <c:formatCode>General</c:formatCode>
                <c:ptCount val="2"/>
                <c:pt idx="0">
                  <c:v>0</c:v>
                </c:pt>
                <c:pt idx="1">
                  <c:v>0</c:v>
                </c:pt>
              </c:numCache>
            </c:numRef>
          </c:yVal>
          <c:smooth val="0"/>
          <c:extLst>
            <c:ext xmlns:c16="http://schemas.microsoft.com/office/drawing/2014/chart" uri="{C3380CC4-5D6E-409C-BE32-E72D297353CC}">
              <c16:uniqueId val="{00000004-D87D-43C5-A99B-11F11D5D1704}"/>
            </c:ext>
          </c:extLst>
        </c:ser>
        <c:ser>
          <c:idx val="3"/>
          <c:order val="3"/>
          <c:spPr>
            <a:ln w="3175">
              <a:solidFill>
                <a:srgbClr val="000000"/>
              </a:solidFill>
              <a:prstDash val="lgDashDot"/>
            </a:ln>
          </c:spPr>
          <c:marker>
            <c:symbol val="none"/>
          </c:marker>
          <c:xVal>
            <c:numRef>
              <c:f>Stat_Silica!$Y$161:$Y$162</c:f>
              <c:numCache>
                <c:formatCode>0.000</c:formatCode>
                <c:ptCount val="2"/>
                <c:pt idx="0">
                  <c:v>0</c:v>
                </c:pt>
                <c:pt idx="1">
                  <c:v>0</c:v>
                </c:pt>
              </c:numCache>
            </c:numRef>
          </c:xVal>
          <c:yVal>
            <c:numRef>
              <c:f>Stat_Silica!$Z$161:$Z$162</c:f>
              <c:numCache>
                <c:formatCode>General</c:formatCode>
                <c:ptCount val="2"/>
                <c:pt idx="0">
                  <c:v>0</c:v>
                </c:pt>
                <c:pt idx="1">
                  <c:v>0</c:v>
                </c:pt>
              </c:numCache>
            </c:numRef>
          </c:yVal>
          <c:smooth val="0"/>
          <c:extLst>
            <c:ext xmlns:c16="http://schemas.microsoft.com/office/drawing/2014/chart" uri="{C3380CC4-5D6E-409C-BE32-E72D297353CC}">
              <c16:uniqueId val="{00000005-D87D-43C5-A99B-11F11D5D1704}"/>
            </c:ext>
          </c:extLst>
        </c:ser>
        <c:ser>
          <c:idx val="4"/>
          <c:order val="4"/>
          <c:spPr>
            <a:ln w="3175">
              <a:solidFill>
                <a:srgbClr val="000000"/>
              </a:solidFill>
              <a:prstDash val="lgDashDot"/>
            </a:ln>
          </c:spPr>
          <c:marker>
            <c:symbol val="none"/>
          </c:marker>
          <c:xVal>
            <c:numRef>
              <c:f>Stat_Silica!$AA$161:$AA$162</c:f>
              <c:numCache>
                <c:formatCode>0.000</c:formatCode>
                <c:ptCount val="2"/>
                <c:pt idx="0">
                  <c:v>0</c:v>
                </c:pt>
                <c:pt idx="1">
                  <c:v>0</c:v>
                </c:pt>
              </c:numCache>
            </c:numRef>
          </c:xVal>
          <c:yVal>
            <c:numRef>
              <c:f>Stat_Silica!$AB$161:$AB$162</c:f>
              <c:numCache>
                <c:formatCode>General</c:formatCode>
                <c:ptCount val="2"/>
                <c:pt idx="0">
                  <c:v>0</c:v>
                </c:pt>
                <c:pt idx="1">
                  <c:v>0</c:v>
                </c:pt>
              </c:numCache>
            </c:numRef>
          </c:yVal>
          <c:smooth val="0"/>
          <c:extLst>
            <c:ext xmlns:c16="http://schemas.microsoft.com/office/drawing/2014/chart" uri="{C3380CC4-5D6E-409C-BE32-E72D297353CC}">
              <c16:uniqueId val="{00000006-D87D-43C5-A99B-11F11D5D1704}"/>
            </c:ext>
          </c:extLst>
        </c:ser>
        <c:dLbls>
          <c:showLegendKey val="0"/>
          <c:showVal val="0"/>
          <c:showCatName val="0"/>
          <c:showSerName val="0"/>
          <c:showPercent val="0"/>
          <c:showBubbleSize val="0"/>
        </c:dLbls>
        <c:axId val="563517992"/>
        <c:axId val="1"/>
      </c:scatterChart>
      <c:valAx>
        <c:axId val="5635179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563517992"/>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0.98425196899999956" l="0.78740157499999996" r="0.78740157499999996" t="0.98425196899999956" header="0.49212598500000088" footer="0.49212598500000088"/>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78451905378523E-2"/>
          <c:y val="9.5652173913043689E-2"/>
          <c:w val="0.8701001218312493"/>
          <c:h val="0.76086956521739135"/>
        </c:manualLayout>
      </c:layout>
      <c:scatterChart>
        <c:scatterStyle val="lineMarker"/>
        <c:varyColors val="0"/>
        <c:ser>
          <c:idx val="0"/>
          <c:order val="0"/>
          <c:spPr>
            <a:ln w="12700">
              <a:solidFill>
                <a:srgbClr val="FF0000"/>
              </a:solidFill>
              <a:prstDash val="solid"/>
            </a:ln>
          </c:spPr>
          <c:marker>
            <c:symbol val="none"/>
          </c:marker>
          <c:xVal>
            <c:numRef>
              <c:f>Stat_Poeira!$A$161:$A$260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xVal>
          <c:yVal>
            <c:numRef>
              <c:f>Stat_Poeira!$B$161:$B$260</c:f>
              <c:numCache>
                <c:formatCode>General</c:formatCode>
                <c:ptCount val="10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numCache>
            </c:numRef>
          </c:yVal>
          <c:smooth val="0"/>
          <c:extLst>
            <c:ext xmlns:c16="http://schemas.microsoft.com/office/drawing/2014/chart" uri="{C3380CC4-5D6E-409C-BE32-E72D297353CC}">
              <c16:uniqueId val="{00000000-19B5-4029-82A0-D29C546DD4D4}"/>
            </c:ext>
          </c:extLst>
        </c:ser>
        <c:ser>
          <c:idx val="1"/>
          <c:order val="1"/>
          <c:spPr>
            <a:ln w="12700">
              <a:solidFill>
                <a:srgbClr val="000000"/>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AM and CI's</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19B5-4029-82A0-D29C546DD4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Stat_Poeira!$U$161:$U$162</c:f>
              <c:numCache>
                <c:formatCode>0.000</c:formatCode>
                <c:ptCount val="2"/>
                <c:pt idx="0">
                  <c:v>0</c:v>
                </c:pt>
                <c:pt idx="1">
                  <c:v>0</c:v>
                </c:pt>
              </c:numCache>
            </c:numRef>
          </c:xVal>
          <c:yVal>
            <c:numRef>
              <c:f>Stat_Poeira!$V$161:$V$162</c:f>
              <c:numCache>
                <c:formatCode>General</c:formatCode>
                <c:ptCount val="2"/>
                <c:pt idx="0">
                  <c:v>0</c:v>
                </c:pt>
                <c:pt idx="1">
                  <c:v>0</c:v>
                </c:pt>
              </c:numCache>
            </c:numRef>
          </c:yVal>
          <c:smooth val="0"/>
          <c:extLst>
            <c:ext xmlns:c16="http://schemas.microsoft.com/office/drawing/2014/chart" uri="{C3380CC4-5D6E-409C-BE32-E72D297353CC}">
              <c16:uniqueId val="{00000002-19B5-4029-82A0-D29C546DD4D4}"/>
            </c:ext>
          </c:extLst>
        </c:ser>
        <c:ser>
          <c:idx val="2"/>
          <c:order val="2"/>
          <c:spPr>
            <a:ln w="12700">
              <a:solidFill>
                <a:srgbClr val="0000FF"/>
              </a:solidFill>
              <a:prstDash val="solid"/>
            </a:ln>
          </c:spPr>
          <c:marker>
            <c:symbol val="none"/>
          </c:marker>
          <c:dLbls>
            <c:dLbl>
              <c:idx val="1"/>
              <c:tx>
                <c:rich>
                  <a:bodyPr/>
                  <a:lstStyle/>
                  <a:p>
                    <a:pPr>
                      <a:defRPr sz="800" b="0" i="0" u="none" strike="noStrike" baseline="0">
                        <a:solidFill>
                          <a:srgbClr val="000000"/>
                        </a:solidFill>
                        <a:latin typeface="Arial"/>
                        <a:ea typeface="Arial"/>
                        <a:cs typeface="Arial"/>
                      </a:defRPr>
                    </a:pPr>
                    <a:r>
                      <a:rPr lang="pt-BR"/>
                      <a:t>95%ile</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19B5-4029-82A0-D29C546DD4D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Stat_Poeira!$W$161:$W$162</c:f>
              <c:numCache>
                <c:formatCode>0.000</c:formatCode>
                <c:ptCount val="2"/>
                <c:pt idx="0">
                  <c:v>0</c:v>
                </c:pt>
                <c:pt idx="1">
                  <c:v>0</c:v>
                </c:pt>
              </c:numCache>
            </c:numRef>
          </c:xVal>
          <c:yVal>
            <c:numRef>
              <c:f>Stat_Poeira!$X$161:$X$162</c:f>
              <c:numCache>
                <c:formatCode>General</c:formatCode>
                <c:ptCount val="2"/>
                <c:pt idx="0">
                  <c:v>0</c:v>
                </c:pt>
                <c:pt idx="1">
                  <c:v>0</c:v>
                </c:pt>
              </c:numCache>
            </c:numRef>
          </c:yVal>
          <c:smooth val="0"/>
          <c:extLst>
            <c:ext xmlns:c16="http://schemas.microsoft.com/office/drawing/2014/chart" uri="{C3380CC4-5D6E-409C-BE32-E72D297353CC}">
              <c16:uniqueId val="{00000004-19B5-4029-82A0-D29C546DD4D4}"/>
            </c:ext>
          </c:extLst>
        </c:ser>
        <c:ser>
          <c:idx val="3"/>
          <c:order val="3"/>
          <c:spPr>
            <a:ln w="3175">
              <a:solidFill>
                <a:srgbClr val="000000"/>
              </a:solidFill>
              <a:prstDash val="lgDashDot"/>
            </a:ln>
          </c:spPr>
          <c:marker>
            <c:symbol val="none"/>
          </c:marker>
          <c:xVal>
            <c:numRef>
              <c:f>Stat_Poeira!$Y$161:$Y$162</c:f>
              <c:numCache>
                <c:formatCode>0.000</c:formatCode>
                <c:ptCount val="2"/>
                <c:pt idx="0">
                  <c:v>0</c:v>
                </c:pt>
                <c:pt idx="1">
                  <c:v>0</c:v>
                </c:pt>
              </c:numCache>
            </c:numRef>
          </c:xVal>
          <c:yVal>
            <c:numRef>
              <c:f>Stat_Poeira!$Z$161:$Z$162</c:f>
              <c:numCache>
                <c:formatCode>General</c:formatCode>
                <c:ptCount val="2"/>
                <c:pt idx="0">
                  <c:v>0</c:v>
                </c:pt>
                <c:pt idx="1">
                  <c:v>0</c:v>
                </c:pt>
              </c:numCache>
            </c:numRef>
          </c:yVal>
          <c:smooth val="0"/>
          <c:extLst>
            <c:ext xmlns:c16="http://schemas.microsoft.com/office/drawing/2014/chart" uri="{C3380CC4-5D6E-409C-BE32-E72D297353CC}">
              <c16:uniqueId val="{00000005-19B5-4029-82A0-D29C546DD4D4}"/>
            </c:ext>
          </c:extLst>
        </c:ser>
        <c:ser>
          <c:idx val="4"/>
          <c:order val="4"/>
          <c:spPr>
            <a:ln w="3175">
              <a:solidFill>
                <a:srgbClr val="000000"/>
              </a:solidFill>
              <a:prstDash val="lgDashDot"/>
            </a:ln>
          </c:spPr>
          <c:marker>
            <c:symbol val="none"/>
          </c:marker>
          <c:xVal>
            <c:numRef>
              <c:f>Stat_Poeira!$AA$161:$AA$162</c:f>
              <c:numCache>
                <c:formatCode>0.000</c:formatCode>
                <c:ptCount val="2"/>
                <c:pt idx="0">
                  <c:v>0</c:v>
                </c:pt>
                <c:pt idx="1">
                  <c:v>0</c:v>
                </c:pt>
              </c:numCache>
            </c:numRef>
          </c:xVal>
          <c:yVal>
            <c:numRef>
              <c:f>Stat_Poeira!$AB$161:$AB$162</c:f>
              <c:numCache>
                <c:formatCode>General</c:formatCode>
                <c:ptCount val="2"/>
                <c:pt idx="0">
                  <c:v>0</c:v>
                </c:pt>
                <c:pt idx="1">
                  <c:v>0</c:v>
                </c:pt>
              </c:numCache>
            </c:numRef>
          </c:yVal>
          <c:smooth val="0"/>
          <c:extLst>
            <c:ext xmlns:c16="http://schemas.microsoft.com/office/drawing/2014/chart" uri="{C3380CC4-5D6E-409C-BE32-E72D297353CC}">
              <c16:uniqueId val="{00000006-19B5-4029-82A0-D29C546DD4D4}"/>
            </c:ext>
          </c:extLst>
        </c:ser>
        <c:dLbls>
          <c:showLegendKey val="0"/>
          <c:showVal val="0"/>
          <c:showCatName val="0"/>
          <c:showSerName val="0"/>
          <c:showPercent val="0"/>
          <c:showBubbleSize val="0"/>
        </c:dLbls>
        <c:axId val="605122584"/>
        <c:axId val="1"/>
      </c:scatterChart>
      <c:valAx>
        <c:axId val="60512258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1"/>
        <c:crosses val="autoZero"/>
        <c:crossBetween val="midCat"/>
      </c:valAx>
      <c:valAx>
        <c:axId val="1"/>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en-US"/>
          </a:p>
        </c:txPr>
        <c:crossAx val="605122584"/>
        <c:crosses val="autoZero"/>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0.98425196899999956" l="0.78740157499999996" r="0.78740157499999996" t="0.98425196899999956" header="0.49212598500000088" footer="0.49212598500000088"/>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Probability Plot and Least Squares Best Fit Line</a:t>
            </a:r>
          </a:p>
        </c:rich>
      </c:tx>
      <c:layout>
        <c:manualLayout>
          <c:xMode val="edge"/>
          <c:yMode val="edge"/>
          <c:x val="0.17282187071748775"/>
          <c:y val="3.2258064516129031E-2"/>
        </c:manualLayout>
      </c:layout>
      <c:overlay val="0"/>
      <c:spPr>
        <a:noFill/>
        <a:ln w="25400">
          <a:noFill/>
        </a:ln>
      </c:spPr>
    </c:title>
    <c:autoTitleDeleted val="0"/>
    <c:plotArea>
      <c:layout>
        <c:manualLayout>
          <c:layoutTarget val="inner"/>
          <c:xMode val="edge"/>
          <c:yMode val="edge"/>
          <c:x val="7.9763893336564584E-2"/>
          <c:y val="0.10173697270471477"/>
          <c:w val="0.84195220744151533"/>
          <c:h val="0.77667493796526155"/>
        </c:manualLayout>
      </c:layout>
      <c:scatterChart>
        <c:scatterStyle val="lineMarker"/>
        <c:varyColors val="0"/>
        <c:ser>
          <c:idx val="1"/>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54A9-45D7-8EAD-DF27FE643106}"/>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54A9-45D7-8EAD-DF27FE643106}"/>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54A9-45D7-8EAD-DF27FE643106}"/>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54A9-45D7-8EAD-DF27FE643106}"/>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54A9-45D7-8EAD-DF27FE643106}"/>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54A9-45D7-8EAD-DF27FE643106}"/>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54A9-45D7-8EAD-DF27FE643106}"/>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54A9-45D7-8EAD-DF27FE643106}"/>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54A9-45D7-8EAD-DF27FE643106}"/>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54A9-45D7-8EAD-DF27FE643106}"/>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54A9-45D7-8EAD-DF27FE643106}"/>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54A9-45D7-8EAD-DF27FE643106}"/>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54A9-45D7-8EAD-DF27FE643106}"/>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Stat_Silica!$F$10:$F$22</c:f>
              <c:numCache>
                <c:formatCode>General</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Stat_Silica!$G$10:$G$22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54A9-45D7-8EAD-DF27FE643106}"/>
            </c:ext>
          </c:extLst>
        </c:ser>
        <c:ser>
          <c:idx val="2"/>
          <c:order val="1"/>
          <c:spPr>
            <a:ln w="12700">
              <a:solidFill>
                <a:srgbClr val="0000FF"/>
              </a:solidFill>
              <a:prstDash val="solid"/>
            </a:ln>
          </c:spPr>
          <c:marker>
            <c:symbol val="none"/>
          </c:marker>
          <c:xVal>
            <c:numRef>
              <c:f>Stat_Silica!$W$69:$W$70</c:f>
              <c:numCache>
                <c:formatCode>0.00</c:formatCode>
                <c:ptCount val="2"/>
                <c:pt idx="0">
                  <c:v>0</c:v>
                </c:pt>
                <c:pt idx="1">
                  <c:v>0</c:v>
                </c:pt>
              </c:numCache>
            </c:numRef>
          </c:xVal>
          <c:yVal>
            <c:numRef>
              <c:f>Stat_Silica!$X$69:$X$70</c:f>
              <c:numCache>
                <c:formatCode>General</c:formatCode>
                <c:ptCount val="2"/>
                <c:pt idx="0">
                  <c:v>2.5</c:v>
                </c:pt>
                <c:pt idx="1">
                  <c:v>7.33</c:v>
                </c:pt>
              </c:numCache>
            </c:numRef>
          </c:yVal>
          <c:smooth val="0"/>
          <c:extLst>
            <c:ext xmlns:c16="http://schemas.microsoft.com/office/drawing/2014/chart" uri="{C3380CC4-5D6E-409C-BE32-E72D297353CC}">
              <c16:uniqueId val="{0000000E-54A9-45D7-8EAD-DF27FE643106}"/>
            </c:ext>
          </c:extLst>
        </c:ser>
        <c:ser>
          <c:idx val="3"/>
          <c:order val="2"/>
          <c:spPr>
            <a:ln w="28575">
              <a:noFill/>
            </a:ln>
          </c:spPr>
          <c:marker>
            <c:symbol val="square"/>
            <c:size val="5"/>
            <c:spPr>
              <a:solidFill>
                <a:srgbClr val="FFFF00"/>
              </a:solidFill>
              <a:ln>
                <a:solidFill>
                  <a:srgbClr val="000000"/>
                </a:solidFill>
                <a:prstDash val="solid"/>
              </a:ln>
            </c:spPr>
          </c:marker>
          <c:xVal>
            <c:numRef>
              <c:f>Stat_Silica!$N$74:$N$123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Stat_Silica!$P$74:$P$123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54A9-45D7-8EAD-DF27FE643106}"/>
            </c:ext>
          </c:extLst>
        </c:ser>
        <c:ser>
          <c:idx val="4"/>
          <c:order val="3"/>
          <c:spPr>
            <a:ln w="28575">
              <a:noFill/>
            </a:ln>
          </c:spPr>
          <c:marker>
            <c:symbol val="square"/>
            <c:size val="5"/>
            <c:spPr>
              <a:solidFill>
                <a:srgbClr val="FF00FF"/>
              </a:solidFill>
              <a:ln>
                <a:solidFill>
                  <a:srgbClr val="000000"/>
                </a:solidFill>
                <a:prstDash val="solid"/>
              </a:ln>
            </c:spPr>
          </c:marker>
          <c:xVal>
            <c:numRef>
              <c:f>Stat_Silica!$N$74:$N$123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Stat_Silica!$O$74:$O$123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10-54A9-45D7-8EAD-DF27FE643106}"/>
            </c:ext>
          </c:extLst>
        </c:ser>
        <c:dLbls>
          <c:showLegendKey val="0"/>
          <c:showVal val="0"/>
          <c:showCatName val="0"/>
          <c:showSerName val="0"/>
          <c:showPercent val="0"/>
          <c:showBubbleSize val="0"/>
        </c:dLbls>
        <c:axId val="360329456"/>
        <c:axId val="1"/>
      </c:scatterChart>
      <c:valAx>
        <c:axId val="360329456"/>
        <c:scaling>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000" b="1" i="0" u="none" strike="noStrike" baseline="0">
                    <a:solidFill>
                      <a:srgbClr val="000000"/>
                    </a:solidFill>
                    <a:latin typeface="Geneva"/>
                    <a:ea typeface="Geneva"/>
                    <a:cs typeface="Geneva"/>
                  </a:defRPr>
                </a:pPr>
                <a:r>
                  <a:rPr lang="pt-BR"/>
                  <a:t>Concentration</a:t>
                </a:r>
              </a:p>
            </c:rich>
          </c:tx>
          <c:layout>
            <c:manualLayout>
              <c:xMode val="edge"/>
              <c:yMode val="edge"/>
              <c:x val="0.29689917078949202"/>
              <c:y val="0.9330024813895782"/>
            </c:manualLayout>
          </c:layout>
          <c:overlay val="0"/>
          <c:spPr>
            <a:noFill/>
            <a:ln w="25400">
              <a:noFill/>
            </a:ln>
          </c:spPr>
        </c:title>
        <c:numFmt formatCode="General"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360329456"/>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Geneva"/>
                <a:ea typeface="Geneva"/>
                <a:cs typeface="Geneva"/>
              </a:defRPr>
            </a:pPr>
            <a:r>
              <a:rPr lang="pt-BR"/>
              <a:t>Log-Probability Plot and Least Squares Best Fit Line</a:t>
            </a:r>
          </a:p>
        </c:rich>
      </c:tx>
      <c:layout>
        <c:manualLayout>
          <c:xMode val="edge"/>
          <c:yMode val="edge"/>
          <c:x val="0.14069673109043188"/>
          <c:y val="3.2345037951337169E-2"/>
        </c:manualLayout>
      </c:layout>
      <c:overlay val="0"/>
      <c:spPr>
        <a:noFill/>
        <a:ln w="25400">
          <a:noFill/>
        </a:ln>
      </c:spPr>
    </c:title>
    <c:autoTitleDeleted val="0"/>
    <c:plotArea>
      <c:layout>
        <c:manualLayout>
          <c:layoutTarget val="inner"/>
          <c:xMode val="edge"/>
          <c:yMode val="edge"/>
          <c:x val="0.12254232780781846"/>
          <c:y val="0.20754716981132135"/>
          <c:w val="0.75794699051502634"/>
          <c:h val="0.67115902964959817"/>
        </c:manualLayout>
      </c:layout>
      <c:scatterChart>
        <c:scatterStyle val="lineMarker"/>
        <c:varyColors val="0"/>
        <c:ser>
          <c:idx val="0"/>
          <c:order val="0"/>
          <c:spPr>
            <a:ln w="28575">
              <a:noFill/>
            </a:ln>
          </c:spPr>
          <c:marker>
            <c:symbol val="dash"/>
            <c:size val="5"/>
            <c:spPr>
              <a:solidFill>
                <a:srgbClr val="000000"/>
              </a:solidFill>
              <a:ln>
                <a:solidFill>
                  <a:srgbClr val="000000"/>
                </a:solidFill>
                <a:prstDash val="solid"/>
              </a:ln>
            </c:spPr>
          </c:marker>
          <c:dLbls>
            <c:dLbl>
              <c:idx val="0"/>
              <c:tx>
                <c:rich>
                  <a:bodyPr/>
                  <a:lstStyle/>
                  <a:p>
                    <a:pPr>
                      <a:defRPr sz="1000" b="0" i="0" u="none" strike="noStrike" baseline="0">
                        <a:solidFill>
                          <a:srgbClr val="000000"/>
                        </a:solidFill>
                        <a:latin typeface="Geneva"/>
                        <a:ea typeface="Geneva"/>
                        <a:cs typeface="Geneva"/>
                      </a:defRPr>
                    </a:pPr>
                    <a:r>
                      <a:rPr lang="pt-BR"/>
                      <a:t>99%</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1D94-4D01-85E3-8F5D456A0542}"/>
                </c:ext>
              </c:extLst>
            </c:dLbl>
            <c:dLbl>
              <c:idx val="1"/>
              <c:tx>
                <c:rich>
                  <a:bodyPr/>
                  <a:lstStyle/>
                  <a:p>
                    <a:pPr>
                      <a:defRPr sz="1000" b="0" i="0" u="none" strike="noStrike" baseline="0">
                        <a:solidFill>
                          <a:srgbClr val="000000"/>
                        </a:solidFill>
                        <a:latin typeface="Geneva"/>
                        <a:ea typeface="Geneva"/>
                        <a:cs typeface="Geneva"/>
                      </a:defRPr>
                    </a:pPr>
                    <a:r>
                      <a:rPr lang="pt-BR"/>
                      <a:t>98%</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1D94-4D01-85E3-8F5D456A0542}"/>
                </c:ext>
              </c:extLst>
            </c:dLbl>
            <c:dLbl>
              <c:idx val="2"/>
              <c:tx>
                <c:rich>
                  <a:bodyPr/>
                  <a:lstStyle/>
                  <a:p>
                    <a:pPr>
                      <a:defRPr sz="1000" b="0" i="0" u="none" strike="noStrike" baseline="0">
                        <a:solidFill>
                          <a:srgbClr val="000000"/>
                        </a:solidFill>
                        <a:latin typeface="Geneva"/>
                        <a:ea typeface="Geneva"/>
                        <a:cs typeface="Geneva"/>
                      </a:defRPr>
                    </a:pPr>
                    <a:r>
                      <a:rPr lang="pt-BR"/>
                      <a:t>95%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1D94-4D01-85E3-8F5D456A0542}"/>
                </c:ext>
              </c:extLst>
            </c:dLbl>
            <c:dLbl>
              <c:idx val="3"/>
              <c:tx>
                <c:rich>
                  <a:bodyPr/>
                  <a:lstStyle/>
                  <a:p>
                    <a:pPr>
                      <a:defRPr sz="1000" b="0" i="0" u="none" strike="noStrike" baseline="0">
                        <a:solidFill>
                          <a:srgbClr val="000000"/>
                        </a:solidFill>
                        <a:latin typeface="Geneva"/>
                        <a:ea typeface="Geneva"/>
                        <a:cs typeface="Geneva"/>
                      </a:defRPr>
                    </a:pPr>
                    <a:r>
                      <a:rPr lang="pt-BR"/>
                      <a:t>90%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1D94-4D01-85E3-8F5D456A0542}"/>
                </c:ext>
              </c:extLst>
            </c:dLbl>
            <c:dLbl>
              <c:idx val="4"/>
              <c:tx>
                <c:rich>
                  <a:bodyPr/>
                  <a:lstStyle/>
                  <a:p>
                    <a:pPr>
                      <a:defRPr sz="1000" b="0" i="0" u="none" strike="noStrike" baseline="0">
                        <a:solidFill>
                          <a:srgbClr val="000000"/>
                        </a:solidFill>
                        <a:latin typeface="Geneva"/>
                        <a:ea typeface="Geneva"/>
                        <a:cs typeface="Geneva"/>
                      </a:defRPr>
                    </a:pPr>
                    <a:r>
                      <a:rPr lang="pt-BR"/>
                      <a:t>84%</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4-1D94-4D01-85E3-8F5D456A0542}"/>
                </c:ext>
              </c:extLst>
            </c:dLbl>
            <c:dLbl>
              <c:idx val="5"/>
              <c:tx>
                <c:rich>
                  <a:bodyPr/>
                  <a:lstStyle/>
                  <a:p>
                    <a:pPr>
                      <a:defRPr sz="1000" b="0" i="0" u="none" strike="noStrike" baseline="0">
                        <a:solidFill>
                          <a:srgbClr val="000000"/>
                        </a:solidFill>
                        <a:latin typeface="Geneva"/>
                        <a:ea typeface="Geneva"/>
                        <a:cs typeface="Geneva"/>
                      </a:defRPr>
                    </a:pPr>
                    <a:r>
                      <a:rPr lang="pt-BR"/>
                      <a:t>75%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5-1D94-4D01-85E3-8F5D456A0542}"/>
                </c:ext>
              </c:extLst>
            </c:dLbl>
            <c:dLbl>
              <c:idx val="6"/>
              <c:tx>
                <c:rich>
                  <a:bodyPr/>
                  <a:lstStyle/>
                  <a:p>
                    <a:pPr>
                      <a:defRPr sz="1000" b="0" i="0" u="none" strike="noStrike" baseline="0">
                        <a:solidFill>
                          <a:srgbClr val="000000"/>
                        </a:solidFill>
                        <a:latin typeface="Geneva"/>
                        <a:ea typeface="Geneva"/>
                        <a:cs typeface="Geneva"/>
                      </a:defRPr>
                    </a:pPr>
                    <a:r>
                      <a:rPr lang="pt-BR"/>
                      <a:t>50%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6-1D94-4D01-85E3-8F5D456A0542}"/>
                </c:ext>
              </c:extLst>
            </c:dLbl>
            <c:dLbl>
              <c:idx val="7"/>
              <c:tx>
                <c:rich>
                  <a:bodyPr/>
                  <a:lstStyle/>
                  <a:p>
                    <a:pPr>
                      <a:defRPr sz="1000" b="0" i="0" u="none" strike="noStrike" baseline="0">
                        <a:solidFill>
                          <a:srgbClr val="000000"/>
                        </a:solidFill>
                        <a:latin typeface="Geneva"/>
                        <a:ea typeface="Geneva"/>
                        <a:cs typeface="Geneva"/>
                      </a:defRPr>
                    </a:pPr>
                    <a:r>
                      <a:rPr lang="pt-BR"/>
                      <a:t>25%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1D94-4D01-85E3-8F5D456A0542}"/>
                </c:ext>
              </c:extLst>
            </c:dLbl>
            <c:dLbl>
              <c:idx val="8"/>
              <c:tx>
                <c:rich>
                  <a:bodyPr/>
                  <a:lstStyle/>
                  <a:p>
                    <a:pPr>
                      <a:defRPr sz="1000" b="0" i="0" u="none" strike="noStrike" baseline="0">
                        <a:solidFill>
                          <a:srgbClr val="000000"/>
                        </a:solidFill>
                        <a:latin typeface="Geneva"/>
                        <a:ea typeface="Geneva"/>
                        <a:cs typeface="Geneva"/>
                      </a:defRPr>
                    </a:pPr>
                    <a:r>
                      <a:rPr lang="pt-BR"/>
                      <a:t>16%</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1D94-4D01-85E3-8F5D456A0542}"/>
                </c:ext>
              </c:extLst>
            </c:dLbl>
            <c:dLbl>
              <c:idx val="9"/>
              <c:tx>
                <c:rich>
                  <a:bodyPr/>
                  <a:lstStyle/>
                  <a:p>
                    <a:pPr>
                      <a:defRPr sz="1000" b="0" i="0" u="none" strike="noStrike" baseline="0">
                        <a:solidFill>
                          <a:srgbClr val="000000"/>
                        </a:solidFill>
                        <a:latin typeface="Geneva"/>
                        <a:ea typeface="Geneva"/>
                        <a:cs typeface="Geneva"/>
                      </a:defRPr>
                    </a:pPr>
                    <a:r>
                      <a:rPr lang="pt-BR"/>
                      <a:t>10%</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1D94-4D01-85E3-8F5D456A0542}"/>
                </c:ext>
              </c:extLst>
            </c:dLbl>
            <c:dLbl>
              <c:idx val="10"/>
              <c:tx>
                <c:rich>
                  <a:bodyPr/>
                  <a:lstStyle/>
                  <a:p>
                    <a:pPr>
                      <a:defRPr sz="1000" b="0" i="0" u="none" strike="noStrike" baseline="0">
                        <a:solidFill>
                          <a:srgbClr val="000000"/>
                        </a:solidFill>
                        <a:latin typeface="Geneva"/>
                        <a:ea typeface="Geneva"/>
                        <a:cs typeface="Geneva"/>
                      </a:defRPr>
                    </a:pPr>
                    <a:r>
                      <a:rPr lang="pt-BR"/>
                      <a:t>5%</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A-1D94-4D01-85E3-8F5D456A0542}"/>
                </c:ext>
              </c:extLst>
            </c:dLbl>
            <c:dLbl>
              <c:idx val="11"/>
              <c:tx>
                <c:rich>
                  <a:bodyPr/>
                  <a:lstStyle/>
                  <a:p>
                    <a:pPr>
                      <a:defRPr sz="1000" b="0" i="0" u="none" strike="noStrike" baseline="0">
                        <a:solidFill>
                          <a:srgbClr val="000000"/>
                        </a:solidFill>
                        <a:latin typeface="Geneva"/>
                        <a:ea typeface="Geneva"/>
                        <a:cs typeface="Geneva"/>
                      </a:defRPr>
                    </a:pPr>
                    <a:r>
                      <a:rPr lang="pt-BR"/>
                      <a:t>2%</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B-1D94-4D01-85E3-8F5D456A0542}"/>
                </c:ext>
              </c:extLst>
            </c:dLbl>
            <c:dLbl>
              <c:idx val="12"/>
              <c:tx>
                <c:rich>
                  <a:bodyPr/>
                  <a:lstStyle/>
                  <a:p>
                    <a:pPr>
                      <a:defRPr sz="1000" b="0" i="0" u="none" strike="noStrike" baseline="0">
                        <a:solidFill>
                          <a:srgbClr val="000000"/>
                        </a:solidFill>
                        <a:latin typeface="Geneva"/>
                        <a:ea typeface="Geneva"/>
                        <a:cs typeface="Geneva"/>
                      </a:defRPr>
                    </a:pPr>
                    <a:r>
                      <a:rPr lang="pt-BR"/>
                      <a:t>1%</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1D94-4D01-85E3-8F5D456A0542}"/>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Stat_Silica!$D$10:$D$22</c:f>
              <c:numCache>
                <c:formatCode>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xVal>
          <c:yVal>
            <c:numRef>
              <c:f>Stat_Silica!$E$10:$E$22</c:f>
              <c:numCache>
                <c:formatCode>General</c:formatCode>
                <c:ptCount val="13"/>
                <c:pt idx="0">
                  <c:v>7.33</c:v>
                </c:pt>
                <c:pt idx="1">
                  <c:v>7.05</c:v>
                </c:pt>
                <c:pt idx="2">
                  <c:v>6.6449999999999996</c:v>
                </c:pt>
                <c:pt idx="3">
                  <c:v>6.28</c:v>
                </c:pt>
                <c:pt idx="4">
                  <c:v>6</c:v>
                </c:pt>
                <c:pt idx="5">
                  <c:v>5.67</c:v>
                </c:pt>
                <c:pt idx="6">
                  <c:v>5</c:v>
                </c:pt>
                <c:pt idx="7">
                  <c:v>4.33</c:v>
                </c:pt>
                <c:pt idx="8">
                  <c:v>4</c:v>
                </c:pt>
                <c:pt idx="9">
                  <c:v>3.7199999999999998</c:v>
                </c:pt>
                <c:pt idx="10">
                  <c:v>3.355</c:v>
                </c:pt>
                <c:pt idx="11">
                  <c:v>2.95</c:v>
                </c:pt>
                <c:pt idx="12">
                  <c:v>2.67</c:v>
                </c:pt>
              </c:numCache>
            </c:numRef>
          </c:yVal>
          <c:smooth val="0"/>
          <c:extLst>
            <c:ext xmlns:c16="http://schemas.microsoft.com/office/drawing/2014/chart" uri="{C3380CC4-5D6E-409C-BE32-E72D297353CC}">
              <c16:uniqueId val="{0000000D-1D94-4D01-85E3-8F5D456A0542}"/>
            </c:ext>
          </c:extLst>
        </c:ser>
        <c:ser>
          <c:idx val="1"/>
          <c:order val="1"/>
          <c:spPr>
            <a:ln w="12700">
              <a:solidFill>
                <a:srgbClr val="00FF00"/>
              </a:solidFill>
              <a:prstDash val="solid"/>
            </a:ln>
          </c:spPr>
          <c:marker>
            <c:symbol val="none"/>
          </c:marker>
          <c:xVal>
            <c:numRef>
              <c:f>Stat_Silica!$W$78:$W$79</c:f>
              <c:numCache>
                <c:formatCode>0.00</c:formatCode>
                <c:ptCount val="2"/>
                <c:pt idx="0">
                  <c:v>0</c:v>
                </c:pt>
                <c:pt idx="1">
                  <c:v>0</c:v>
                </c:pt>
              </c:numCache>
            </c:numRef>
          </c:xVal>
          <c:yVal>
            <c:numRef>
              <c:f>Stat_Silica!$X$78:$X$79</c:f>
              <c:numCache>
                <c:formatCode>General</c:formatCode>
                <c:ptCount val="2"/>
                <c:pt idx="0">
                  <c:v>2.5</c:v>
                </c:pt>
                <c:pt idx="1">
                  <c:v>7.33</c:v>
                </c:pt>
              </c:numCache>
            </c:numRef>
          </c:yVal>
          <c:smooth val="0"/>
          <c:extLst>
            <c:ext xmlns:c16="http://schemas.microsoft.com/office/drawing/2014/chart" uri="{C3380CC4-5D6E-409C-BE32-E72D297353CC}">
              <c16:uniqueId val="{0000000E-1D94-4D01-85E3-8F5D456A0542}"/>
            </c:ext>
          </c:extLst>
        </c:ser>
        <c:ser>
          <c:idx val="2"/>
          <c:order val="2"/>
          <c:spPr>
            <a:ln w="28575">
              <a:noFill/>
            </a:ln>
          </c:spPr>
          <c:marker>
            <c:symbol val="square"/>
            <c:size val="5"/>
            <c:spPr>
              <a:solidFill>
                <a:srgbClr val="0000FF"/>
              </a:solidFill>
              <a:ln>
                <a:solidFill>
                  <a:srgbClr val="000000"/>
                </a:solidFill>
                <a:prstDash val="solid"/>
              </a:ln>
            </c:spPr>
          </c:marker>
          <c:xVal>
            <c:numRef>
              <c:f>Stat_Silica!$N$74:$N$123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xVal>
          <c:yVal>
            <c:numRef>
              <c:f>Stat_Silica!$O$74:$O$123</c:f>
              <c:numCache>
                <c:formatCode>General</c:formatCode>
                <c:ptCount val="5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numCache>
            </c:numRef>
          </c:yVal>
          <c:smooth val="0"/>
          <c:extLst>
            <c:ext xmlns:c16="http://schemas.microsoft.com/office/drawing/2014/chart" uri="{C3380CC4-5D6E-409C-BE32-E72D297353CC}">
              <c16:uniqueId val="{0000000F-1D94-4D01-85E3-8F5D456A0542}"/>
            </c:ext>
          </c:extLst>
        </c:ser>
        <c:dLbls>
          <c:showLegendKey val="0"/>
          <c:showVal val="0"/>
          <c:showCatName val="0"/>
          <c:showSerName val="0"/>
          <c:showPercent val="0"/>
          <c:showBubbleSize val="0"/>
        </c:dLbls>
        <c:axId val="360326936"/>
        <c:axId val="1"/>
      </c:scatterChart>
      <c:valAx>
        <c:axId val="360326936"/>
        <c:scaling>
          <c:logBase val="10"/>
          <c:orientation val="minMax"/>
        </c:scaling>
        <c:delete val="0"/>
        <c:axPos val="b"/>
        <c:majorGridlines>
          <c:spPr>
            <a:ln w="3175">
              <a:solidFill>
                <a:srgbClr val="000000"/>
              </a:solidFill>
              <a:prstDash val="solid"/>
            </a:ln>
          </c:spPr>
        </c:majorGridlines>
        <c:minorGridlines>
          <c:spPr>
            <a:ln w="3175">
              <a:solidFill>
                <a:srgbClr val="000000"/>
              </a:solidFill>
              <a:prstDash val="solid"/>
            </a:ln>
          </c:spPr>
        </c:minorGridlines>
        <c:numFmt formatCode="0" sourceLinked="1"/>
        <c:majorTickMark val="cross"/>
        <c:minorTickMark val="cross"/>
        <c:tickLblPos val="nextTo"/>
        <c:spPr>
          <a:ln w="3175">
            <a:solidFill>
              <a:srgbClr val="000000"/>
            </a:solidFill>
            <a:prstDash val="solid"/>
          </a:ln>
        </c:spPr>
        <c:txPr>
          <a:bodyPr rot="0" vert="horz"/>
          <a:lstStyle/>
          <a:p>
            <a:pPr>
              <a:defRPr sz="1000" b="0" i="0" u="none" strike="noStrike" baseline="0">
                <a:solidFill>
                  <a:srgbClr val="000000"/>
                </a:solidFill>
                <a:latin typeface="Geneva"/>
                <a:ea typeface="Geneva"/>
                <a:cs typeface="Geneva"/>
              </a:defRPr>
            </a:pPr>
            <a:endParaRPr lang="en-US"/>
          </a:p>
        </c:txPr>
        <c:crossAx val="1"/>
        <c:crossesAt val="2.5"/>
        <c:crossBetween val="midCat"/>
      </c:valAx>
      <c:valAx>
        <c:axId val="1"/>
        <c:scaling>
          <c:orientation val="minMax"/>
          <c:min val="2.5"/>
        </c:scaling>
        <c:delete val="0"/>
        <c:axPos val="r"/>
        <c:majorGridlines>
          <c:spPr>
            <a:ln w="3175">
              <a:solidFill>
                <a:srgbClr val="000000"/>
              </a:solidFill>
              <a:prstDash val="solid"/>
            </a:ln>
          </c:spPr>
        </c:majorGridlines>
        <c:numFmt formatCode="General" sourceLinked="1"/>
        <c:majorTickMark val="cross"/>
        <c:minorTickMark val="cross"/>
        <c:tickLblPos val="none"/>
        <c:spPr>
          <a:ln w="3175">
            <a:solidFill>
              <a:srgbClr val="000000"/>
            </a:solidFill>
            <a:prstDash val="solid"/>
          </a:ln>
        </c:spPr>
        <c:crossAx val="360326936"/>
        <c:crosses val="max"/>
        <c:crossBetween val="midCat"/>
      </c:valAx>
      <c:spPr>
        <a:noFill/>
        <a:ln w="25400">
          <a:noFill/>
        </a:ln>
      </c:spPr>
    </c:plotArea>
    <c:plotVisOnly val="0"/>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Geneva"/>
          <a:ea typeface="Geneva"/>
          <a:cs typeface="Geneva"/>
        </a:defRPr>
      </a:pPr>
      <a:endParaRPr lang="en-US"/>
    </a:p>
  </c:txPr>
  <c:printSettings>
    <c:headerFooter alignWithMargins="0">
      <c:oddFooter>&amp;CPage &amp;P</c:oddFooter>
    </c:headerFooter>
    <c:pageMargins b="0.98425196899999956" l="0.78740157499999996" r="0.78740157499999996" t="0.98425196899999956" header="0.5" footer="0.5"/>
    <c:pageSetup orientation="portrait" horizontalDpi="300" verticalDpi="300" copies="0"/>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4" Type="http://schemas.openxmlformats.org/officeDocument/2006/relationships/chart" Target="../charts/chart1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1</xdr:col>
      <xdr:colOff>0</xdr:colOff>
      <xdr:row>36</xdr:row>
      <xdr:rowOff>57150</xdr:rowOff>
    </xdr:from>
    <xdr:to>
      <xdr:col>2</xdr:col>
      <xdr:colOff>400050</xdr:colOff>
      <xdr:row>36</xdr:row>
      <xdr:rowOff>1200150</xdr:rowOff>
    </xdr:to>
    <xdr:sp macro="" textlink="">
      <xdr:nvSpPr>
        <xdr:cNvPr id="1925" name="Rectangle 6">
          <a:extLst>
            <a:ext uri="{FF2B5EF4-FFF2-40B4-BE49-F238E27FC236}">
              <a16:creationId xmlns:a16="http://schemas.microsoft.com/office/drawing/2014/main" id="{E08E26AE-A186-53FC-88D6-1C34148D1492}"/>
            </a:ext>
          </a:extLst>
        </xdr:cNvPr>
        <xdr:cNvSpPr>
          <a:spLocks noChangeAspect="1" noChangeArrowheads="1"/>
        </xdr:cNvSpPr>
      </xdr:nvSpPr>
      <xdr:spPr bwMode="auto">
        <a:xfrm>
          <a:off x="47625" y="9010650"/>
          <a:ext cx="1762125" cy="1143000"/>
        </a:xfrm>
        <a:prstGeom prst="rect">
          <a:avLst/>
        </a:prstGeom>
        <a:solidFill>
          <a:srgbClr val="FFFFFF"/>
        </a:solidFill>
        <a:ln w="9525">
          <a:solidFill>
            <a:srgbClr val="000000"/>
          </a:solidFill>
          <a:miter lim="800000"/>
          <a:headEnd/>
          <a:tailEnd/>
        </a:ln>
      </xdr:spPr>
    </xdr:sp>
    <xdr:clientData/>
  </xdr:twoCellAnchor>
  <xdr:twoCellAnchor>
    <xdr:from>
      <xdr:col>6</xdr:col>
      <xdr:colOff>781050</xdr:colOff>
      <xdr:row>36</xdr:row>
      <xdr:rowOff>47625</xdr:rowOff>
    </xdr:from>
    <xdr:to>
      <xdr:col>8</xdr:col>
      <xdr:colOff>771525</xdr:colOff>
      <xdr:row>36</xdr:row>
      <xdr:rowOff>1200150</xdr:rowOff>
    </xdr:to>
    <xdr:sp macro="" textlink="">
      <xdr:nvSpPr>
        <xdr:cNvPr id="1926" name="Rectangle 24">
          <a:extLst>
            <a:ext uri="{FF2B5EF4-FFF2-40B4-BE49-F238E27FC236}">
              <a16:creationId xmlns:a16="http://schemas.microsoft.com/office/drawing/2014/main" id="{4B4AF0B9-16BA-A078-826D-AAFF4DE7C6E4}"/>
            </a:ext>
          </a:extLst>
        </xdr:cNvPr>
        <xdr:cNvSpPr>
          <a:spLocks noChangeAspect="1" noChangeArrowheads="1"/>
        </xdr:cNvSpPr>
      </xdr:nvSpPr>
      <xdr:spPr bwMode="auto">
        <a:xfrm>
          <a:off x="5734050" y="9001125"/>
          <a:ext cx="1857375" cy="1152525"/>
        </a:xfrm>
        <a:prstGeom prst="rect">
          <a:avLst/>
        </a:prstGeom>
        <a:solidFill>
          <a:srgbClr val="FFFFFF"/>
        </a:solidFill>
        <a:ln w="9525">
          <a:solidFill>
            <a:srgbClr val="000000"/>
          </a:solidFill>
          <a:miter lim="800000"/>
          <a:headEnd/>
          <a:tailEnd/>
        </a:ln>
      </xdr:spPr>
    </xdr:sp>
    <xdr:clientData/>
  </xdr:twoCellAnchor>
  <xdr:twoCellAnchor>
    <xdr:from>
      <xdr:col>9</xdr:col>
      <xdr:colOff>47625</xdr:colOff>
      <xdr:row>36</xdr:row>
      <xdr:rowOff>47625</xdr:rowOff>
    </xdr:from>
    <xdr:to>
      <xdr:col>10</xdr:col>
      <xdr:colOff>923925</xdr:colOff>
      <xdr:row>36</xdr:row>
      <xdr:rowOff>1200150</xdr:rowOff>
    </xdr:to>
    <xdr:sp macro="" textlink="">
      <xdr:nvSpPr>
        <xdr:cNvPr id="1927" name="Rectangle 26">
          <a:extLst>
            <a:ext uri="{FF2B5EF4-FFF2-40B4-BE49-F238E27FC236}">
              <a16:creationId xmlns:a16="http://schemas.microsoft.com/office/drawing/2014/main" id="{52B9CCA1-B848-D405-21C7-DDFC39B4FF13}"/>
            </a:ext>
          </a:extLst>
        </xdr:cNvPr>
        <xdr:cNvSpPr>
          <a:spLocks noChangeAspect="1" noChangeArrowheads="1"/>
        </xdr:cNvSpPr>
      </xdr:nvSpPr>
      <xdr:spPr bwMode="auto">
        <a:xfrm>
          <a:off x="7648575" y="9001125"/>
          <a:ext cx="1981200" cy="1152525"/>
        </a:xfrm>
        <a:prstGeom prst="rect">
          <a:avLst/>
        </a:prstGeom>
        <a:solidFill>
          <a:srgbClr val="FFFFFF"/>
        </a:solidFill>
        <a:ln w="9525">
          <a:solidFill>
            <a:srgbClr val="000000"/>
          </a:solidFill>
          <a:miter lim="800000"/>
          <a:headEnd/>
          <a:tailEnd/>
        </a:ln>
      </xdr:spPr>
    </xdr:sp>
    <xdr:clientData/>
  </xdr:twoCellAnchor>
  <xdr:twoCellAnchor>
    <xdr:from>
      <xdr:col>10</xdr:col>
      <xdr:colOff>971550</xdr:colOff>
      <xdr:row>36</xdr:row>
      <xdr:rowOff>47625</xdr:rowOff>
    </xdr:from>
    <xdr:to>
      <xdr:col>13</xdr:col>
      <xdr:colOff>638175</xdr:colOff>
      <xdr:row>36</xdr:row>
      <xdr:rowOff>1200150</xdr:rowOff>
    </xdr:to>
    <xdr:sp macro="" textlink="">
      <xdr:nvSpPr>
        <xdr:cNvPr id="1928" name="Rectangle 28">
          <a:extLst>
            <a:ext uri="{FF2B5EF4-FFF2-40B4-BE49-F238E27FC236}">
              <a16:creationId xmlns:a16="http://schemas.microsoft.com/office/drawing/2014/main" id="{76295FD7-CB5A-E0E2-CCF6-4FAF873A9D02}"/>
            </a:ext>
          </a:extLst>
        </xdr:cNvPr>
        <xdr:cNvSpPr>
          <a:spLocks noChangeAspect="1" noChangeArrowheads="1"/>
        </xdr:cNvSpPr>
      </xdr:nvSpPr>
      <xdr:spPr bwMode="auto">
        <a:xfrm>
          <a:off x="9677400" y="9001125"/>
          <a:ext cx="1914525" cy="1152525"/>
        </a:xfrm>
        <a:prstGeom prst="rect">
          <a:avLst/>
        </a:prstGeom>
        <a:solidFill>
          <a:srgbClr val="FFFFFF"/>
        </a:solidFill>
        <a:ln w="9525">
          <a:solidFill>
            <a:srgbClr val="000000"/>
          </a:solidFill>
          <a:miter lim="800000"/>
          <a:headEnd/>
          <a:tailEnd/>
        </a:ln>
      </xdr:spPr>
    </xdr:sp>
    <xdr:clientData/>
  </xdr:twoCellAnchor>
  <xdr:twoCellAnchor>
    <xdr:from>
      <xdr:col>4</xdr:col>
      <xdr:colOff>514350</xdr:colOff>
      <xdr:row>36</xdr:row>
      <xdr:rowOff>57150</xdr:rowOff>
    </xdr:from>
    <xdr:to>
      <xdr:col>6</xdr:col>
      <xdr:colOff>704850</xdr:colOff>
      <xdr:row>36</xdr:row>
      <xdr:rowOff>1200150</xdr:rowOff>
    </xdr:to>
    <xdr:sp macro="" textlink="">
      <xdr:nvSpPr>
        <xdr:cNvPr id="1929" name="Rectangle 24">
          <a:extLst>
            <a:ext uri="{FF2B5EF4-FFF2-40B4-BE49-F238E27FC236}">
              <a16:creationId xmlns:a16="http://schemas.microsoft.com/office/drawing/2014/main" id="{CEB5DBC7-033D-6530-310E-E22143649DA1}"/>
            </a:ext>
          </a:extLst>
        </xdr:cNvPr>
        <xdr:cNvSpPr>
          <a:spLocks noChangeAspect="1" noChangeArrowheads="1"/>
        </xdr:cNvSpPr>
      </xdr:nvSpPr>
      <xdr:spPr bwMode="auto">
        <a:xfrm>
          <a:off x="3771900" y="9010650"/>
          <a:ext cx="1885950" cy="1143000"/>
        </a:xfrm>
        <a:prstGeom prst="rect">
          <a:avLst/>
        </a:prstGeom>
        <a:solidFill>
          <a:srgbClr val="FFFFFF"/>
        </a:solidFill>
        <a:ln w="9525">
          <a:solidFill>
            <a:srgbClr val="000000"/>
          </a:solidFill>
          <a:miter lim="800000"/>
          <a:headEnd/>
          <a:tailEnd/>
        </a:ln>
      </xdr:spPr>
    </xdr:sp>
    <xdr:clientData/>
  </xdr:twoCellAnchor>
  <xdr:twoCellAnchor>
    <xdr:from>
      <xdr:col>2</xdr:col>
      <xdr:colOff>466725</xdr:colOff>
      <xdr:row>36</xdr:row>
      <xdr:rowOff>57150</xdr:rowOff>
    </xdr:from>
    <xdr:to>
      <xdr:col>4</xdr:col>
      <xdr:colOff>466725</xdr:colOff>
      <xdr:row>36</xdr:row>
      <xdr:rowOff>1200150</xdr:rowOff>
    </xdr:to>
    <xdr:sp macro="" textlink="">
      <xdr:nvSpPr>
        <xdr:cNvPr id="1930" name="Rectangle 6">
          <a:extLst>
            <a:ext uri="{FF2B5EF4-FFF2-40B4-BE49-F238E27FC236}">
              <a16:creationId xmlns:a16="http://schemas.microsoft.com/office/drawing/2014/main" id="{AB076A34-5D0A-6AC0-3374-CBE17E91941C}"/>
            </a:ext>
          </a:extLst>
        </xdr:cNvPr>
        <xdr:cNvSpPr>
          <a:spLocks noChangeAspect="1" noChangeArrowheads="1"/>
        </xdr:cNvSpPr>
      </xdr:nvSpPr>
      <xdr:spPr bwMode="auto">
        <a:xfrm>
          <a:off x="1876425" y="9010650"/>
          <a:ext cx="1847850" cy="1143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31</xdr:row>
      <xdr:rowOff>66675</xdr:rowOff>
    </xdr:from>
    <xdr:to>
      <xdr:col>7</xdr:col>
      <xdr:colOff>304800</xdr:colOff>
      <xdr:row>38</xdr:row>
      <xdr:rowOff>1209675</xdr:rowOff>
    </xdr:to>
    <xdr:graphicFrame macro="">
      <xdr:nvGraphicFramePr>
        <xdr:cNvPr id="8365" name="Chart 1">
          <a:extLst>
            <a:ext uri="{FF2B5EF4-FFF2-40B4-BE49-F238E27FC236}">
              <a16:creationId xmlns:a16="http://schemas.microsoft.com/office/drawing/2014/main" id="{584A0CE2-78C0-AE34-4F6E-560C97D315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20</xdr:col>
      <xdr:colOff>47625</xdr:colOff>
      <xdr:row>6</xdr:row>
      <xdr:rowOff>0</xdr:rowOff>
    </xdr:from>
    <xdr:to>
      <xdr:col>22</xdr:col>
      <xdr:colOff>723900</xdr:colOff>
      <xdr:row>29</xdr:row>
      <xdr:rowOff>0</xdr:rowOff>
    </xdr:to>
    <xdr:graphicFrame macro="">
      <xdr:nvGraphicFramePr>
        <xdr:cNvPr id="2742" name="Chart 1">
          <a:extLst>
            <a:ext uri="{FF2B5EF4-FFF2-40B4-BE49-F238E27FC236}">
              <a16:creationId xmlns:a16="http://schemas.microsoft.com/office/drawing/2014/main" id="{E214EC98-6C1E-EB01-D707-194EF37C1B6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76200</xdr:colOff>
      <xdr:row>30</xdr:row>
      <xdr:rowOff>76200</xdr:rowOff>
    </xdr:from>
    <xdr:to>
      <xdr:col>22</xdr:col>
      <xdr:colOff>695325</xdr:colOff>
      <xdr:row>51</xdr:row>
      <xdr:rowOff>133350</xdr:rowOff>
    </xdr:to>
    <xdr:graphicFrame macro="">
      <xdr:nvGraphicFramePr>
        <xdr:cNvPr id="2743" name="Chart 2">
          <a:extLst>
            <a:ext uri="{FF2B5EF4-FFF2-40B4-BE49-F238E27FC236}">
              <a16:creationId xmlns:a16="http://schemas.microsoft.com/office/drawing/2014/main" id="{E5014D13-C879-FBD7-088A-8D602A1FA0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25</xdr:row>
      <xdr:rowOff>142875</xdr:rowOff>
    </xdr:from>
    <xdr:to>
      <xdr:col>25</xdr:col>
      <xdr:colOff>733425</xdr:colOff>
      <xdr:row>48</xdr:row>
      <xdr:rowOff>114300</xdr:rowOff>
    </xdr:to>
    <xdr:graphicFrame macro="">
      <xdr:nvGraphicFramePr>
        <xdr:cNvPr id="2744" name="Chart 3">
          <a:extLst>
            <a:ext uri="{FF2B5EF4-FFF2-40B4-BE49-F238E27FC236}">
              <a16:creationId xmlns:a16="http://schemas.microsoft.com/office/drawing/2014/main" id="{83452202-135F-C0BA-BCDA-6463A0046D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0</xdr:colOff>
      <xdr:row>5</xdr:row>
      <xdr:rowOff>104775</xdr:rowOff>
    </xdr:from>
    <xdr:to>
      <xdr:col>25</xdr:col>
      <xdr:colOff>752475</xdr:colOff>
      <xdr:row>25</xdr:row>
      <xdr:rowOff>85725</xdr:rowOff>
    </xdr:to>
    <xdr:graphicFrame macro="">
      <xdr:nvGraphicFramePr>
        <xdr:cNvPr id="2745" name="Chart 4">
          <a:extLst>
            <a:ext uri="{FF2B5EF4-FFF2-40B4-BE49-F238E27FC236}">
              <a16:creationId xmlns:a16="http://schemas.microsoft.com/office/drawing/2014/main" id="{3D4CB24F-A7D5-423B-CFED-4FC102FD7D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28575</xdr:colOff>
      <xdr:row>22</xdr:row>
      <xdr:rowOff>47625</xdr:rowOff>
    </xdr:from>
    <xdr:to>
      <xdr:col>10</xdr:col>
      <xdr:colOff>533400</xdr:colOff>
      <xdr:row>35</xdr:row>
      <xdr:rowOff>76200</xdr:rowOff>
    </xdr:to>
    <xdr:graphicFrame macro="">
      <xdr:nvGraphicFramePr>
        <xdr:cNvPr id="5470" name="Chart 3">
          <a:extLst>
            <a:ext uri="{FF2B5EF4-FFF2-40B4-BE49-F238E27FC236}">
              <a16:creationId xmlns:a16="http://schemas.microsoft.com/office/drawing/2014/main" id="{70F6120E-84CE-A097-6C2D-E9EBD911CA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37</xdr:row>
      <xdr:rowOff>85725</xdr:rowOff>
    </xdr:from>
    <xdr:to>
      <xdr:col>10</xdr:col>
      <xdr:colOff>533400</xdr:colOff>
      <xdr:row>51</xdr:row>
      <xdr:rowOff>9525</xdr:rowOff>
    </xdr:to>
    <xdr:graphicFrame macro="">
      <xdr:nvGraphicFramePr>
        <xdr:cNvPr id="5471" name="Chart 4">
          <a:extLst>
            <a:ext uri="{FF2B5EF4-FFF2-40B4-BE49-F238E27FC236}">
              <a16:creationId xmlns:a16="http://schemas.microsoft.com/office/drawing/2014/main" id="{53964E61-1659-1AA4-1446-9D451A15D7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20</xdr:col>
      <xdr:colOff>47625</xdr:colOff>
      <xdr:row>6</xdr:row>
      <xdr:rowOff>0</xdr:rowOff>
    </xdr:from>
    <xdr:to>
      <xdr:col>22</xdr:col>
      <xdr:colOff>723900</xdr:colOff>
      <xdr:row>29</xdr:row>
      <xdr:rowOff>0</xdr:rowOff>
    </xdr:to>
    <xdr:graphicFrame macro="">
      <xdr:nvGraphicFramePr>
        <xdr:cNvPr id="6838" name="Chart 1">
          <a:extLst>
            <a:ext uri="{FF2B5EF4-FFF2-40B4-BE49-F238E27FC236}">
              <a16:creationId xmlns:a16="http://schemas.microsoft.com/office/drawing/2014/main" id="{F50021AE-7E60-23A3-8A36-20CAFC2D12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76200</xdr:colOff>
      <xdr:row>30</xdr:row>
      <xdr:rowOff>76200</xdr:rowOff>
    </xdr:from>
    <xdr:to>
      <xdr:col>22</xdr:col>
      <xdr:colOff>695325</xdr:colOff>
      <xdr:row>51</xdr:row>
      <xdr:rowOff>133350</xdr:rowOff>
    </xdr:to>
    <xdr:graphicFrame macro="">
      <xdr:nvGraphicFramePr>
        <xdr:cNvPr id="6839" name="Chart 2">
          <a:extLst>
            <a:ext uri="{FF2B5EF4-FFF2-40B4-BE49-F238E27FC236}">
              <a16:creationId xmlns:a16="http://schemas.microsoft.com/office/drawing/2014/main" id="{51E89E6C-04C4-942D-2B0C-C007C5A495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25</xdr:row>
      <xdr:rowOff>142875</xdr:rowOff>
    </xdr:from>
    <xdr:to>
      <xdr:col>25</xdr:col>
      <xdr:colOff>733425</xdr:colOff>
      <xdr:row>48</xdr:row>
      <xdr:rowOff>114300</xdr:rowOff>
    </xdr:to>
    <xdr:graphicFrame macro="">
      <xdr:nvGraphicFramePr>
        <xdr:cNvPr id="6840" name="Chart 3">
          <a:extLst>
            <a:ext uri="{FF2B5EF4-FFF2-40B4-BE49-F238E27FC236}">
              <a16:creationId xmlns:a16="http://schemas.microsoft.com/office/drawing/2014/main" id="{274CA33D-0DB1-F826-A24B-0FCE684DDD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0</xdr:colOff>
      <xdr:row>5</xdr:row>
      <xdr:rowOff>104775</xdr:rowOff>
    </xdr:from>
    <xdr:to>
      <xdr:col>25</xdr:col>
      <xdr:colOff>752475</xdr:colOff>
      <xdr:row>25</xdr:row>
      <xdr:rowOff>85725</xdr:rowOff>
    </xdr:to>
    <xdr:graphicFrame macro="">
      <xdr:nvGraphicFramePr>
        <xdr:cNvPr id="6841" name="Chart 4">
          <a:extLst>
            <a:ext uri="{FF2B5EF4-FFF2-40B4-BE49-F238E27FC236}">
              <a16:creationId xmlns:a16="http://schemas.microsoft.com/office/drawing/2014/main" id="{DDA3E110-DAC9-093C-6508-2C88148875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20</xdr:col>
      <xdr:colOff>47625</xdr:colOff>
      <xdr:row>6</xdr:row>
      <xdr:rowOff>0</xdr:rowOff>
    </xdr:from>
    <xdr:to>
      <xdr:col>22</xdr:col>
      <xdr:colOff>723900</xdr:colOff>
      <xdr:row>29</xdr:row>
      <xdr:rowOff>0</xdr:rowOff>
    </xdr:to>
    <xdr:graphicFrame macro="">
      <xdr:nvGraphicFramePr>
        <xdr:cNvPr id="4790" name="Chart 1">
          <a:extLst>
            <a:ext uri="{FF2B5EF4-FFF2-40B4-BE49-F238E27FC236}">
              <a16:creationId xmlns:a16="http://schemas.microsoft.com/office/drawing/2014/main" id="{2B33855B-6598-E5F8-817D-67F46BE211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76200</xdr:colOff>
      <xdr:row>30</xdr:row>
      <xdr:rowOff>76200</xdr:rowOff>
    </xdr:from>
    <xdr:to>
      <xdr:col>22</xdr:col>
      <xdr:colOff>695325</xdr:colOff>
      <xdr:row>51</xdr:row>
      <xdr:rowOff>133350</xdr:rowOff>
    </xdr:to>
    <xdr:graphicFrame macro="">
      <xdr:nvGraphicFramePr>
        <xdr:cNvPr id="4791" name="Chart 2">
          <a:extLst>
            <a:ext uri="{FF2B5EF4-FFF2-40B4-BE49-F238E27FC236}">
              <a16:creationId xmlns:a16="http://schemas.microsoft.com/office/drawing/2014/main" id="{60CA32FE-B14A-78A3-4214-957A5C58E5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0</xdr:colOff>
      <xdr:row>25</xdr:row>
      <xdr:rowOff>142875</xdr:rowOff>
    </xdr:from>
    <xdr:to>
      <xdr:col>25</xdr:col>
      <xdr:colOff>733425</xdr:colOff>
      <xdr:row>48</xdr:row>
      <xdr:rowOff>114300</xdr:rowOff>
    </xdr:to>
    <xdr:graphicFrame macro="">
      <xdr:nvGraphicFramePr>
        <xdr:cNvPr id="4792" name="Chart 3">
          <a:extLst>
            <a:ext uri="{FF2B5EF4-FFF2-40B4-BE49-F238E27FC236}">
              <a16:creationId xmlns:a16="http://schemas.microsoft.com/office/drawing/2014/main" id="{A9A3F690-BEF4-E9D0-BF4F-6298D21D95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0</xdr:colOff>
      <xdr:row>5</xdr:row>
      <xdr:rowOff>104775</xdr:rowOff>
    </xdr:from>
    <xdr:to>
      <xdr:col>25</xdr:col>
      <xdr:colOff>752475</xdr:colOff>
      <xdr:row>25</xdr:row>
      <xdr:rowOff>85725</xdr:rowOff>
    </xdr:to>
    <xdr:graphicFrame macro="">
      <xdr:nvGraphicFramePr>
        <xdr:cNvPr id="4793" name="Chart 4">
          <a:extLst>
            <a:ext uri="{FF2B5EF4-FFF2-40B4-BE49-F238E27FC236}">
              <a16:creationId xmlns:a16="http://schemas.microsoft.com/office/drawing/2014/main" id="{866686C2-B6A0-DFBF-4D2D-EEF48DF4A7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9525</xdr:colOff>
      <xdr:row>23</xdr:row>
      <xdr:rowOff>85725</xdr:rowOff>
    </xdr:from>
    <xdr:to>
      <xdr:col>10</xdr:col>
      <xdr:colOff>533400</xdr:colOff>
      <xdr:row>37</xdr:row>
      <xdr:rowOff>9525</xdr:rowOff>
    </xdr:to>
    <xdr:graphicFrame macro="">
      <xdr:nvGraphicFramePr>
        <xdr:cNvPr id="1336408" name="Chart 4">
          <a:extLst>
            <a:ext uri="{FF2B5EF4-FFF2-40B4-BE49-F238E27FC236}">
              <a16:creationId xmlns:a16="http://schemas.microsoft.com/office/drawing/2014/main" id="{4BCAFD7C-E9B2-384C-E36E-D3666DC6BEC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9525</xdr:colOff>
      <xdr:row>23</xdr:row>
      <xdr:rowOff>85725</xdr:rowOff>
    </xdr:from>
    <xdr:to>
      <xdr:col>10</xdr:col>
      <xdr:colOff>533400</xdr:colOff>
      <xdr:row>37</xdr:row>
      <xdr:rowOff>9525</xdr:rowOff>
    </xdr:to>
    <xdr:graphicFrame macro="">
      <xdr:nvGraphicFramePr>
        <xdr:cNvPr id="2518033" name="Chart 4">
          <a:extLst>
            <a:ext uri="{FF2B5EF4-FFF2-40B4-BE49-F238E27FC236}">
              <a16:creationId xmlns:a16="http://schemas.microsoft.com/office/drawing/2014/main" id="{A962AACB-4377-3D16-01BF-CA59F94458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3">
  <rv s="0">
    <v>2</v>
    <v>1</v>
  </rv>
  <rv s="1">
    <v>2</v>
    <v>3</v>
  </rv>
  <rv s="1">
    <v>2</v>
    <v>1</v>
  </rv>
</rvData>
</file>

<file path=xl/richData/rdrichvaluestructure.xml><?xml version="1.0" encoding="utf-8"?>
<rvStructures xmlns="http://schemas.microsoft.com/office/spreadsheetml/2017/richdata" count="2">
  <s t="_error">
    <k n="errorType" t="i"/>
    <k n="propagated" t="b"/>
  </s>
  <s t="_error">
    <k n="errorType" t="i"/>
    <k n="subType" t="i"/>
  </s>
</rvStructur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
  <sheetViews>
    <sheetView showGridLines="0" topLeftCell="A17" zoomScaleNormal="110" workbookViewId="0">
      <selection activeCell="Q11" sqref="Q11"/>
    </sheetView>
  </sheetViews>
  <sheetFormatPr defaultColWidth="9.109375" defaultRowHeight="13.2"/>
  <cols>
    <col min="1" max="1" width="0.6640625" style="109" customWidth="1"/>
    <col min="2" max="2" width="20.44140625" style="110" customWidth="1"/>
    <col min="3" max="3" width="15" style="110" customWidth="1"/>
    <col min="4" max="6" width="12.6640625" style="110" customWidth="1"/>
    <col min="7" max="7" width="14" style="110" customWidth="1"/>
    <col min="8" max="8" width="14" style="111" customWidth="1"/>
    <col min="9" max="9" width="11.6640625" style="110" customWidth="1"/>
    <col min="10" max="10" width="16.5546875" style="110" customWidth="1"/>
    <col min="11" max="11" width="14.88671875" style="110" customWidth="1"/>
    <col min="12" max="12" width="13.33203125" style="110" customWidth="1"/>
    <col min="13" max="13" width="5.5546875" style="110" customWidth="1"/>
    <col min="14" max="14" width="10.109375" style="110" customWidth="1"/>
    <col min="15" max="15" width="2.5546875" style="110" customWidth="1"/>
    <col min="16" max="16384" width="9.109375" style="110"/>
  </cols>
  <sheetData>
    <row r="1" spans="2:17" ht="2.25" customHeight="1"/>
    <row r="2" spans="2:17" ht="33.75" customHeight="1">
      <c r="B2" s="277" t="s">
        <v>256</v>
      </c>
      <c r="C2" s="129"/>
      <c r="D2" s="299" t="s">
        <v>269</v>
      </c>
      <c r="E2" s="300"/>
      <c r="F2" s="300"/>
      <c r="G2" s="301"/>
      <c r="H2" s="280" t="s">
        <v>436</v>
      </c>
      <c r="I2" s="281"/>
      <c r="J2" s="281"/>
      <c r="K2" s="282"/>
      <c r="L2" s="286" t="s">
        <v>270</v>
      </c>
      <c r="M2" s="287"/>
      <c r="N2" s="288"/>
      <c r="O2" s="292"/>
    </row>
    <row r="3" spans="2:17" ht="33.75" customHeight="1">
      <c r="B3" s="278"/>
      <c r="C3" s="130"/>
      <c r="D3" s="302"/>
      <c r="E3" s="303"/>
      <c r="F3" s="303"/>
      <c r="G3" s="304"/>
      <c r="H3" s="283"/>
      <c r="I3" s="284"/>
      <c r="J3" s="284"/>
      <c r="K3" s="285"/>
      <c r="L3" s="289"/>
      <c r="M3" s="290"/>
      <c r="N3" s="291"/>
      <c r="O3" s="292"/>
    </row>
    <row r="4" spans="2:17" ht="8.25" customHeight="1">
      <c r="B4" s="116"/>
      <c r="C4" s="116"/>
      <c r="F4" s="113"/>
      <c r="G4" s="113"/>
      <c r="H4" s="117"/>
      <c r="I4" s="117"/>
      <c r="J4" s="117"/>
      <c r="K4" s="117"/>
      <c r="L4" s="117"/>
      <c r="M4" s="117"/>
      <c r="N4" s="113"/>
      <c r="O4" s="113"/>
      <c r="P4" s="113"/>
      <c r="Q4" s="113"/>
    </row>
    <row r="5" spans="2:17">
      <c r="B5" s="296" t="s">
        <v>0</v>
      </c>
      <c r="C5" s="296"/>
      <c r="D5" s="296"/>
      <c r="E5" s="296"/>
      <c r="F5" s="296"/>
      <c r="G5" s="296"/>
      <c r="H5" s="296"/>
      <c r="I5" s="296"/>
      <c r="J5" s="296"/>
      <c r="K5" s="296"/>
      <c r="L5" s="296"/>
      <c r="M5" s="296"/>
      <c r="N5" s="296"/>
    </row>
    <row r="6" spans="2:17">
      <c r="B6" s="66"/>
      <c r="C6" s="66"/>
      <c r="D6" s="66"/>
      <c r="E6" s="66"/>
      <c r="F6" s="66"/>
      <c r="G6" s="66"/>
      <c r="H6" s="66"/>
      <c r="I6" s="66"/>
      <c r="J6" s="66"/>
      <c r="K6" s="66"/>
      <c r="L6" s="66"/>
      <c r="M6" s="66"/>
      <c r="N6" s="66"/>
    </row>
    <row r="7" spans="2:17" ht="15" customHeight="1" thickBot="1">
      <c r="B7" s="81"/>
      <c r="C7" s="81"/>
      <c r="D7" s="81"/>
      <c r="E7" s="81"/>
      <c r="F7" s="81"/>
      <c r="G7" s="81"/>
      <c r="H7" s="81"/>
      <c r="I7" s="81"/>
      <c r="J7" s="81"/>
      <c r="K7" s="81"/>
      <c r="L7" s="82"/>
      <c r="M7" s="251"/>
      <c r="N7" s="251"/>
    </row>
    <row r="8" spans="2:17">
      <c r="B8" s="75" t="s">
        <v>275</v>
      </c>
      <c r="C8" s="75"/>
      <c r="D8" s="294"/>
      <c r="E8" s="294"/>
      <c r="F8" s="294"/>
      <c r="G8" s="294"/>
      <c r="H8" s="295"/>
      <c r="I8" s="295"/>
      <c r="J8" s="295"/>
      <c r="K8" s="295"/>
      <c r="L8" s="295"/>
      <c r="M8" s="295"/>
      <c r="N8" s="295"/>
      <c r="O8" s="109"/>
    </row>
    <row r="9" spans="2:17">
      <c r="B9" s="76" t="s">
        <v>268</v>
      </c>
      <c r="C9" s="76"/>
      <c r="D9" s="276"/>
      <c r="E9" s="276"/>
      <c r="F9" s="276"/>
      <c r="G9" s="276"/>
      <c r="H9" s="76" t="s">
        <v>1</v>
      </c>
      <c r="I9" s="276"/>
      <c r="J9" s="276"/>
      <c r="K9" s="276"/>
      <c r="L9" s="276"/>
      <c r="M9" s="276"/>
      <c r="N9" s="76"/>
      <c r="O9" s="109"/>
      <c r="Q9" s="109"/>
    </row>
    <row r="10" spans="2:17" ht="13.5" customHeight="1">
      <c r="B10" s="76" t="s">
        <v>276</v>
      </c>
      <c r="C10" s="76"/>
      <c r="D10" s="276"/>
      <c r="E10" s="276"/>
      <c r="F10" s="276"/>
      <c r="G10" s="276"/>
      <c r="H10" s="76"/>
      <c r="I10" s="76"/>
      <c r="J10" s="76"/>
      <c r="K10" s="76"/>
      <c r="L10" s="76"/>
      <c r="M10" s="76"/>
      <c r="N10" s="76"/>
      <c r="O10" s="109"/>
      <c r="Q10" s="109"/>
    </row>
    <row r="11" spans="2:17" ht="13.8" thickBot="1">
      <c r="B11" s="69"/>
      <c r="C11" s="69"/>
      <c r="D11" s="69"/>
      <c r="E11" s="69"/>
      <c r="F11" s="69"/>
      <c r="G11" s="69"/>
      <c r="H11" s="70"/>
      <c r="I11" s="69"/>
      <c r="J11" s="69"/>
      <c r="K11" s="69"/>
      <c r="L11" s="69"/>
      <c r="M11" s="69"/>
      <c r="N11" s="69"/>
      <c r="O11" s="109"/>
      <c r="Q11" s="109"/>
    </row>
    <row r="12" spans="2:17" ht="15.75" customHeight="1" thickBot="1">
      <c r="B12" s="263" t="s">
        <v>277</v>
      </c>
      <c r="C12" s="263"/>
      <c r="D12" s="263"/>
      <c r="E12" s="263"/>
      <c r="F12" s="263"/>
      <c r="G12" s="263"/>
      <c r="H12" s="264"/>
      <c r="I12" s="264"/>
      <c r="J12" s="264"/>
      <c r="K12" s="264"/>
      <c r="L12" s="264"/>
      <c r="M12" s="264"/>
      <c r="N12" s="264"/>
      <c r="O12" s="109"/>
      <c r="Q12" s="109"/>
    </row>
    <row r="13" spans="2:17" ht="25.5" customHeight="1">
      <c r="B13" s="297" t="s">
        <v>404</v>
      </c>
      <c r="C13" s="297"/>
      <c r="D13" s="297"/>
      <c r="E13" s="297"/>
      <c r="F13" s="297"/>
      <c r="G13" s="114"/>
      <c r="H13" s="249" t="s">
        <v>405</v>
      </c>
      <c r="I13" s="239" t="s">
        <v>401</v>
      </c>
      <c r="J13" s="239"/>
      <c r="K13" s="239"/>
      <c r="L13" s="239"/>
      <c r="M13" s="239"/>
      <c r="N13" s="239"/>
      <c r="O13" s="109"/>
    </row>
    <row r="14" spans="2:17" ht="8.25" customHeight="1">
      <c r="B14" s="66"/>
      <c r="C14" s="66"/>
      <c r="D14" s="66"/>
      <c r="E14" s="66"/>
      <c r="F14" s="66"/>
      <c r="G14" s="66"/>
      <c r="H14" s="250"/>
      <c r="I14" s="239"/>
      <c r="J14" s="239"/>
      <c r="K14" s="239"/>
      <c r="L14" s="239"/>
      <c r="M14" s="239"/>
      <c r="N14" s="239"/>
      <c r="O14" s="109"/>
    </row>
    <row r="15" spans="2:17" ht="25.5" customHeight="1">
      <c r="B15" s="260"/>
      <c r="C15" s="240"/>
      <c r="D15" s="240"/>
      <c r="E15" s="240"/>
      <c r="F15" s="240"/>
      <c r="G15" s="240"/>
      <c r="H15" s="246"/>
      <c r="I15" s="240"/>
      <c r="J15" s="240"/>
      <c r="K15" s="240"/>
      <c r="L15" s="240"/>
      <c r="M15" s="240"/>
      <c r="N15" s="241"/>
      <c r="O15" s="237"/>
      <c r="P15" s="238"/>
    </row>
    <row r="16" spans="2:17" ht="25.5" customHeight="1">
      <c r="B16" s="261"/>
      <c r="C16" s="242"/>
      <c r="D16" s="242"/>
      <c r="E16" s="242"/>
      <c r="F16" s="242"/>
      <c r="G16" s="242"/>
      <c r="H16" s="247"/>
      <c r="I16" s="242"/>
      <c r="J16" s="242"/>
      <c r="K16" s="242"/>
      <c r="L16" s="242"/>
      <c r="M16" s="242"/>
      <c r="N16" s="243"/>
      <c r="O16" s="237"/>
      <c r="P16" s="238"/>
    </row>
    <row r="17" spans="2:17" ht="25.5" customHeight="1">
      <c r="B17" s="260"/>
      <c r="C17" s="240"/>
      <c r="D17" s="240"/>
      <c r="E17" s="240"/>
      <c r="F17" s="240"/>
      <c r="G17" s="240"/>
      <c r="H17" s="247"/>
      <c r="I17" s="240"/>
      <c r="J17" s="240"/>
      <c r="K17" s="240"/>
      <c r="L17" s="240"/>
      <c r="M17" s="240"/>
      <c r="N17" s="241"/>
      <c r="O17" s="237"/>
      <c r="P17" s="238"/>
    </row>
    <row r="18" spans="2:17" ht="25.5" customHeight="1">
      <c r="B18" s="261"/>
      <c r="C18" s="242"/>
      <c r="D18" s="242"/>
      <c r="E18" s="242"/>
      <c r="F18" s="242"/>
      <c r="G18" s="242"/>
      <c r="H18" s="247"/>
      <c r="I18" s="242"/>
      <c r="J18" s="242"/>
      <c r="K18" s="242"/>
      <c r="L18" s="242"/>
      <c r="M18" s="242"/>
      <c r="N18" s="243"/>
      <c r="O18" s="237"/>
      <c r="P18" s="238"/>
    </row>
    <row r="19" spans="2:17">
      <c r="B19" s="260"/>
      <c r="C19" s="240"/>
      <c r="D19" s="240"/>
      <c r="E19" s="240"/>
      <c r="F19" s="240"/>
      <c r="G19" s="240"/>
      <c r="H19" s="247"/>
      <c r="I19" s="240"/>
      <c r="J19" s="240"/>
      <c r="K19" s="240"/>
      <c r="L19" s="240"/>
      <c r="M19" s="240"/>
      <c r="N19" s="241"/>
      <c r="O19" s="237"/>
      <c r="P19" s="238"/>
      <c r="Q19" s="115"/>
    </row>
    <row r="20" spans="2:17">
      <c r="B20" s="265"/>
      <c r="C20" s="244"/>
      <c r="D20" s="244"/>
      <c r="E20" s="244"/>
      <c r="F20" s="244"/>
      <c r="G20" s="244"/>
      <c r="H20" s="247"/>
      <c r="I20" s="244"/>
      <c r="J20" s="244"/>
      <c r="K20" s="244"/>
      <c r="L20" s="244"/>
      <c r="M20" s="244"/>
      <c r="N20" s="245"/>
      <c r="O20" s="237"/>
      <c r="P20" s="238"/>
      <c r="Q20" s="115"/>
    </row>
    <row r="21" spans="2:17">
      <c r="B21" s="261"/>
      <c r="C21" s="242"/>
      <c r="D21" s="242"/>
      <c r="E21" s="242"/>
      <c r="F21" s="242"/>
      <c r="G21" s="242"/>
      <c r="H21" s="248"/>
      <c r="I21" s="242"/>
      <c r="J21" s="242"/>
      <c r="K21" s="242"/>
      <c r="L21" s="242"/>
      <c r="M21" s="242"/>
      <c r="N21" s="243"/>
      <c r="O21" s="237"/>
      <c r="P21" s="238"/>
      <c r="Q21" s="115"/>
    </row>
    <row r="22" spans="2:17" ht="13.8" thickBot="1">
      <c r="B22" s="71"/>
      <c r="C22" s="71"/>
      <c r="D22" s="71"/>
      <c r="E22" s="71"/>
      <c r="F22" s="71"/>
      <c r="G22" s="71"/>
      <c r="H22" s="72"/>
      <c r="I22" s="71"/>
      <c r="J22" s="71"/>
      <c r="K22" s="71"/>
      <c r="L22" s="71"/>
      <c r="M22" s="71"/>
      <c r="N22" s="71"/>
      <c r="O22" s="109"/>
      <c r="Q22" s="115"/>
    </row>
    <row r="23" spans="2:17">
      <c r="B23" s="279" t="s">
        <v>400</v>
      </c>
      <c r="C23" s="279"/>
      <c r="D23" s="279"/>
      <c r="E23" s="279"/>
      <c r="F23" s="279"/>
      <c r="G23" s="279"/>
      <c r="H23" s="279"/>
      <c r="I23" s="279"/>
      <c r="J23" s="279"/>
      <c r="K23" s="279"/>
      <c r="L23" s="279"/>
      <c r="M23" s="279"/>
      <c r="N23" s="279"/>
      <c r="O23" s="109"/>
      <c r="Q23" s="115"/>
    </row>
    <row r="24" spans="2:17" ht="33.75" customHeight="1" thickBot="1">
      <c r="B24" s="266"/>
      <c r="C24" s="266"/>
      <c r="D24" s="266"/>
      <c r="E24" s="266"/>
      <c r="F24" s="266"/>
      <c r="G24" s="266"/>
      <c r="H24" s="266"/>
      <c r="I24" s="266"/>
      <c r="J24" s="267"/>
      <c r="K24" s="267"/>
      <c r="L24" s="267"/>
      <c r="M24" s="267"/>
      <c r="N24" s="267"/>
      <c r="O24" s="109"/>
      <c r="Q24" s="115"/>
    </row>
    <row r="25" spans="2:17" ht="13.8" thickBot="1">
      <c r="B25" s="212"/>
      <c r="C25" s="73"/>
      <c r="D25" s="73"/>
      <c r="E25" s="73"/>
      <c r="F25" s="73"/>
      <c r="G25" s="73"/>
      <c r="H25" s="74"/>
      <c r="I25" s="73"/>
      <c r="J25" s="215" t="s">
        <v>402</v>
      </c>
      <c r="K25" s="268" t="s">
        <v>403</v>
      </c>
      <c r="L25" s="269"/>
      <c r="M25" s="269"/>
      <c r="N25" s="270"/>
      <c r="O25" s="109"/>
    </row>
    <row r="26" spans="2:17" ht="24.75" customHeight="1">
      <c r="B26" s="259" t="s">
        <v>2</v>
      </c>
      <c r="C26" s="257" t="s">
        <v>391</v>
      </c>
      <c r="D26" s="262" t="s">
        <v>3</v>
      </c>
      <c r="E26" s="262" t="s">
        <v>375</v>
      </c>
      <c r="F26" s="262" t="s">
        <v>4</v>
      </c>
      <c r="G26" s="262" t="s">
        <v>392</v>
      </c>
      <c r="H26" s="253" t="s">
        <v>393</v>
      </c>
      <c r="I26" s="254"/>
      <c r="J26" s="259" t="s">
        <v>390</v>
      </c>
      <c r="K26" s="259" t="s">
        <v>399</v>
      </c>
      <c r="L26" s="259" t="s">
        <v>398</v>
      </c>
      <c r="M26" s="259" t="s">
        <v>397</v>
      </c>
      <c r="N26" s="259"/>
      <c r="O26" s="109"/>
    </row>
    <row r="27" spans="2:17" ht="24" customHeight="1">
      <c r="B27" s="239"/>
      <c r="C27" s="258"/>
      <c r="D27" s="259"/>
      <c r="E27" s="259"/>
      <c r="F27" s="259"/>
      <c r="G27" s="259"/>
      <c r="H27" s="255"/>
      <c r="I27" s="256"/>
      <c r="J27" s="239"/>
      <c r="K27" s="239"/>
      <c r="L27" s="239"/>
      <c r="M27" s="239"/>
      <c r="N27" s="239"/>
      <c r="O27" s="109"/>
    </row>
    <row r="28" spans="2:17" ht="27.75" customHeight="1">
      <c r="B28" s="199"/>
      <c r="C28" s="200"/>
      <c r="D28" s="200"/>
      <c r="E28" s="199"/>
      <c r="F28" s="199"/>
      <c r="G28" s="199"/>
      <c r="H28" s="252"/>
      <c r="I28" s="252"/>
      <c r="J28" s="214"/>
      <c r="K28" s="199"/>
      <c r="L28" s="199"/>
      <c r="M28" s="239"/>
      <c r="N28" s="239"/>
      <c r="O28" s="109"/>
    </row>
    <row r="29" spans="2:17" ht="26.25" customHeight="1">
      <c r="B29" s="199"/>
      <c r="C29" s="200"/>
      <c r="D29" s="200"/>
      <c r="E29" s="199"/>
      <c r="F29" s="199"/>
      <c r="G29" s="199"/>
      <c r="H29" s="252"/>
      <c r="I29" s="252"/>
      <c r="J29" s="214"/>
      <c r="K29" s="199"/>
      <c r="L29" s="199"/>
      <c r="M29" s="239"/>
      <c r="N29" s="239"/>
      <c r="O29" s="109"/>
    </row>
    <row r="30" spans="2:17" ht="34.5" customHeight="1">
      <c r="B30" s="199"/>
      <c r="C30" s="200"/>
      <c r="D30" s="200"/>
      <c r="E30" s="199"/>
      <c r="F30" s="199"/>
      <c r="G30" s="199"/>
      <c r="H30" s="252"/>
      <c r="I30" s="252"/>
      <c r="J30" s="214"/>
      <c r="K30" s="199"/>
      <c r="L30" s="199"/>
      <c r="M30" s="239"/>
      <c r="N30" s="239"/>
      <c r="O30" s="109"/>
    </row>
    <row r="31" spans="2:17" ht="30" customHeight="1">
      <c r="B31" s="199"/>
      <c r="C31" s="200"/>
      <c r="D31" s="200"/>
      <c r="E31" s="199"/>
      <c r="F31" s="199"/>
      <c r="G31" s="199"/>
      <c r="H31" s="252"/>
      <c r="I31" s="252"/>
      <c r="J31" s="214"/>
      <c r="K31" s="199"/>
      <c r="L31" s="199"/>
      <c r="M31" s="239"/>
      <c r="N31" s="239"/>
      <c r="O31" s="109"/>
    </row>
    <row r="32" spans="2:17" ht="26.25" customHeight="1">
      <c r="B32" s="199"/>
      <c r="C32" s="200"/>
      <c r="D32" s="200"/>
      <c r="E32" s="199"/>
      <c r="F32" s="199"/>
      <c r="G32" s="199"/>
      <c r="H32" s="252"/>
      <c r="I32" s="252"/>
      <c r="J32" s="214"/>
      <c r="K32" s="199"/>
      <c r="L32" s="199"/>
      <c r="M32" s="239"/>
      <c r="N32" s="239"/>
      <c r="O32" s="109"/>
    </row>
    <row r="33" spans="2:15" ht="31.5" customHeight="1">
      <c r="B33" s="199"/>
      <c r="C33" s="200"/>
      <c r="D33" s="200"/>
      <c r="E33" s="199"/>
      <c r="F33" s="199"/>
      <c r="G33" s="199"/>
      <c r="H33" s="252"/>
      <c r="I33" s="252"/>
      <c r="J33" s="214"/>
      <c r="K33" s="199"/>
      <c r="L33" s="199"/>
      <c r="M33" s="239"/>
      <c r="N33" s="239"/>
      <c r="O33" s="109"/>
    </row>
    <row r="34" spans="2:15" ht="16.5" customHeight="1">
      <c r="B34" s="298" t="s">
        <v>395</v>
      </c>
      <c r="C34" s="298"/>
      <c r="D34" s="298"/>
      <c r="E34" s="298"/>
      <c r="F34" s="298"/>
      <c r="G34" s="298"/>
      <c r="H34" s="298"/>
      <c r="I34" s="298"/>
      <c r="J34" s="298"/>
      <c r="K34" s="298"/>
      <c r="L34" s="298"/>
      <c r="M34" s="298"/>
      <c r="N34" s="298"/>
      <c r="O34" s="109"/>
    </row>
    <row r="35" spans="2:15" ht="16.5" customHeight="1">
      <c r="B35" s="273" t="s">
        <v>396</v>
      </c>
      <c r="C35" s="274"/>
      <c r="D35" s="274"/>
      <c r="E35" s="274"/>
      <c r="F35" s="274"/>
      <c r="G35" s="274"/>
      <c r="H35" s="274"/>
      <c r="I35" s="274"/>
      <c r="J35" s="274"/>
      <c r="K35" s="274"/>
      <c r="L35" s="274"/>
      <c r="M35" s="274"/>
      <c r="N35" s="275"/>
      <c r="O35" s="109"/>
    </row>
    <row r="36" spans="2:15">
      <c r="B36" s="272" t="s">
        <v>5</v>
      </c>
      <c r="C36" s="272"/>
      <c r="D36" s="272"/>
      <c r="E36" s="272"/>
      <c r="F36" s="272"/>
      <c r="G36" s="272"/>
      <c r="H36" s="272"/>
      <c r="I36" s="272"/>
      <c r="J36" s="272"/>
      <c r="K36" s="272"/>
      <c r="L36" s="272"/>
      <c r="M36" s="272"/>
      <c r="N36" s="272"/>
      <c r="O36" s="109"/>
    </row>
    <row r="37" spans="2:15" ht="99.75" customHeight="1" thickBot="1">
      <c r="B37" s="271"/>
      <c r="C37" s="271"/>
      <c r="D37" s="271"/>
      <c r="E37" s="271"/>
      <c r="F37" s="271"/>
      <c r="G37" s="271"/>
      <c r="H37" s="271"/>
      <c r="I37" s="271"/>
      <c r="J37" s="271"/>
      <c r="K37" s="271"/>
      <c r="L37" s="271"/>
      <c r="M37" s="271"/>
      <c r="N37" s="271"/>
      <c r="O37" s="109"/>
    </row>
    <row r="38" spans="2:15" ht="20.25" customHeight="1">
      <c r="B38" s="116"/>
      <c r="C38" s="116"/>
      <c r="D38" s="118"/>
      <c r="E38" s="118"/>
      <c r="F38" s="117"/>
      <c r="G38" s="117"/>
      <c r="H38" s="293"/>
      <c r="I38" s="293"/>
      <c r="J38" s="293"/>
      <c r="K38" s="293"/>
      <c r="L38" s="293"/>
      <c r="M38" s="293"/>
      <c r="N38" s="293"/>
      <c r="O38" s="109"/>
    </row>
  </sheetData>
  <mergeCells count="54">
    <mergeCell ref="O2:O3"/>
    <mergeCell ref="H38:N38"/>
    <mergeCell ref="D8:N8"/>
    <mergeCell ref="B5:N5"/>
    <mergeCell ref="D9:G9"/>
    <mergeCell ref="B13:F13"/>
    <mergeCell ref="B34:N34"/>
    <mergeCell ref="D2:G3"/>
    <mergeCell ref="B2:B3"/>
    <mergeCell ref="H31:I31"/>
    <mergeCell ref="H28:I28"/>
    <mergeCell ref="H29:I29"/>
    <mergeCell ref="H30:I30"/>
    <mergeCell ref="B23:N23"/>
    <mergeCell ref="M26:N27"/>
    <mergeCell ref="H2:K3"/>
    <mergeCell ref="L2:N3"/>
    <mergeCell ref="L26:L27"/>
    <mergeCell ref="B37:N37"/>
    <mergeCell ref="H33:I33"/>
    <mergeCell ref="B36:N36"/>
    <mergeCell ref="B35:N35"/>
    <mergeCell ref="E26:E27"/>
    <mergeCell ref="M33:N33"/>
    <mergeCell ref="G26:G27"/>
    <mergeCell ref="M29:N29"/>
    <mergeCell ref="M30:N30"/>
    <mergeCell ref="B17:G18"/>
    <mergeCell ref="B19:G21"/>
    <mergeCell ref="B24:N24"/>
    <mergeCell ref="K26:K27"/>
    <mergeCell ref="K25:N25"/>
    <mergeCell ref="F26:F27"/>
    <mergeCell ref="C26:C27"/>
    <mergeCell ref="M31:N31"/>
    <mergeCell ref="J26:J27"/>
    <mergeCell ref="B15:G16"/>
    <mergeCell ref="B26:B27"/>
    <mergeCell ref="D26:D27"/>
    <mergeCell ref="M28:N28"/>
    <mergeCell ref="H15:H21"/>
    <mergeCell ref="H13:H14"/>
    <mergeCell ref="M7:N7"/>
    <mergeCell ref="H32:I32"/>
    <mergeCell ref="H26:I27"/>
    <mergeCell ref="B12:N12"/>
    <mergeCell ref="M32:N32"/>
    <mergeCell ref="I9:M9"/>
    <mergeCell ref="D10:G10"/>
    <mergeCell ref="O15:P21"/>
    <mergeCell ref="I13:N14"/>
    <mergeCell ref="I15:N16"/>
    <mergeCell ref="I17:N18"/>
    <mergeCell ref="I19:N21"/>
  </mergeCells>
  <phoneticPr fontId="2" type="noConversion"/>
  <dataValidations count="4">
    <dataValidation type="list" allowBlank="1" showInputMessage="1" showErrorMessage="1" sqref="D28:D33" xr:uid="{00000000-0002-0000-0000-000000000000}">
      <formula1>"Habitual Permanente, Habitual Intermitente,Eventual"</formula1>
    </dataValidation>
    <dataValidation type="list" allowBlank="1" showInputMessage="1" showErrorMessage="1" sqref="F28:F33" xr:uid="{00000000-0002-0000-0000-000001000000}">
      <formula1>"Aérea,Contato,Aérea/Contato"</formula1>
    </dataValidation>
    <dataValidation type="list" allowBlank="1" showInputMessage="1" showErrorMessage="1" sqref="G28:G33" xr:uid="{00000000-0002-0000-0000-000002000000}">
      <formula1>"Respiratória,Oral,Dérmica,Não se Aplica"</formula1>
    </dataValidation>
    <dataValidation type="list" allowBlank="1" showInputMessage="1" showErrorMessage="1" sqref="C28:C33" xr:uid="{00000000-0002-0000-0000-000003000000}">
      <formula1>"Qualitativa,Quantitativa"</formula1>
    </dataValidation>
  </dataValidations>
  <printOptions horizontalCentered="1"/>
  <pageMargins left="0.39370078740157483" right="0.39370078740157483" top="0.51181102362204722" bottom="0.47244094488188981" header="0.51181102362204722" footer="0.51181102362204722"/>
  <pageSetup paperSize="9" orientation="portrait" r:id="rId1"/>
  <headerFooter alignWithMargins="0">
    <oddFooter>&amp;RRevisão: 00          
11.06.2012</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tint="-0.249977111117893"/>
  </sheetPr>
  <dimension ref="A1:O60"/>
  <sheetViews>
    <sheetView showGridLines="0" topLeftCell="A9" zoomScaleNormal="100" workbookViewId="0">
      <selection activeCell="N9" sqref="N9:O9"/>
    </sheetView>
  </sheetViews>
  <sheetFormatPr defaultColWidth="9.109375" defaultRowHeight="13.2"/>
  <cols>
    <col min="1" max="1" width="0.88671875" style="79" customWidth="1"/>
    <col min="2" max="2" width="4.33203125" style="79" customWidth="1"/>
    <col min="3" max="3" width="9.6640625" style="79" customWidth="1"/>
    <col min="4" max="7" width="11" style="79" customWidth="1"/>
    <col min="8" max="8" width="12" style="79" customWidth="1"/>
    <col min="9" max="9" width="9.5546875" style="79" customWidth="1"/>
    <col min="10" max="10" width="8.6640625" style="79" customWidth="1"/>
    <col min="11" max="11" width="11.88671875" style="79" customWidth="1"/>
    <col min="12" max="12" width="11.33203125" style="79" customWidth="1"/>
    <col min="13" max="13" width="9.33203125" style="79" customWidth="1"/>
    <col min="14" max="14" width="8.6640625" style="79" customWidth="1"/>
    <col min="15" max="15" width="9.109375" style="79" customWidth="1"/>
    <col min="16" max="16384" width="9.109375" style="79"/>
  </cols>
  <sheetData>
    <row r="1" spans="1:15" ht="4.5" customHeight="1"/>
    <row r="2" spans="1:15" ht="57" customHeight="1">
      <c r="B2" s="482" t="s">
        <v>256</v>
      </c>
      <c r="C2" s="482"/>
      <c r="D2" s="451" t="s">
        <v>434</v>
      </c>
      <c r="E2" s="451"/>
      <c r="F2" s="451"/>
      <c r="G2" s="451"/>
      <c r="H2" s="451"/>
      <c r="I2" s="451"/>
      <c r="J2" s="451"/>
      <c r="K2" s="451"/>
      <c r="L2" s="391" t="s">
        <v>436</v>
      </c>
      <c r="M2" s="391"/>
      <c r="N2" s="391"/>
      <c r="O2" s="441" t="s">
        <v>270</v>
      </c>
    </row>
    <row r="3" spans="1:15" s="67" customFormat="1" ht="15" customHeight="1">
      <c r="A3" s="68"/>
      <c r="B3" s="482"/>
      <c r="C3" s="482"/>
      <c r="D3" s="451"/>
      <c r="E3" s="451"/>
      <c r="F3" s="451"/>
      <c r="G3" s="451"/>
      <c r="H3" s="451"/>
      <c r="I3" s="451"/>
      <c r="J3" s="451"/>
      <c r="K3" s="451"/>
      <c r="L3" s="391"/>
      <c r="M3" s="391"/>
      <c r="N3" s="391"/>
      <c r="O3" s="441"/>
    </row>
    <row r="4" spans="1:15">
      <c r="B4" s="493" t="s">
        <v>6</v>
      </c>
      <c r="C4" s="493"/>
      <c r="D4" s="155" t="s">
        <v>416</v>
      </c>
      <c r="E4" s="155"/>
      <c r="F4" s="155"/>
      <c r="G4" s="155"/>
      <c r="H4" s="155"/>
      <c r="I4" s="155"/>
      <c r="J4" s="158"/>
      <c r="K4" s="159"/>
      <c r="L4" s="158" t="s">
        <v>340</v>
      </c>
      <c r="M4" s="160"/>
      <c r="N4" s="160"/>
      <c r="O4" s="159"/>
    </row>
    <row r="5" spans="1:15" ht="12.75" customHeight="1">
      <c r="B5" s="338" t="s">
        <v>8</v>
      </c>
      <c r="C5" s="338" t="s">
        <v>9</v>
      </c>
      <c r="D5" s="338" t="s">
        <v>329</v>
      </c>
      <c r="E5" s="492" t="s">
        <v>332</v>
      </c>
      <c r="F5" s="492" t="s">
        <v>331</v>
      </c>
      <c r="G5" s="471" t="s">
        <v>424</v>
      </c>
      <c r="H5" s="338" t="s">
        <v>394</v>
      </c>
      <c r="I5" s="492" t="s">
        <v>355</v>
      </c>
      <c r="J5" s="494" t="s">
        <v>335</v>
      </c>
      <c r="K5" s="495"/>
      <c r="L5" s="494" t="s">
        <v>334</v>
      </c>
      <c r="M5" s="495"/>
      <c r="N5" s="494" t="s">
        <v>29</v>
      </c>
      <c r="O5" s="495"/>
    </row>
    <row r="6" spans="1:15" ht="24" customHeight="1">
      <c r="B6" s="338"/>
      <c r="C6" s="338"/>
      <c r="D6" s="338"/>
      <c r="E6" s="341"/>
      <c r="F6" s="341"/>
      <c r="G6" s="471"/>
      <c r="H6" s="338"/>
      <c r="I6" s="341"/>
      <c r="J6" s="348"/>
      <c r="K6" s="410"/>
      <c r="L6" s="348"/>
      <c r="M6" s="410"/>
      <c r="N6" s="348"/>
      <c r="O6" s="410"/>
    </row>
    <row r="7" spans="1:15">
      <c r="B7" s="151">
        <v>1</v>
      </c>
      <c r="C7" s="152"/>
      <c r="D7" s="153"/>
      <c r="E7" s="151"/>
      <c r="F7" s="151"/>
      <c r="G7" s="151"/>
      <c r="H7" s="183"/>
      <c r="I7" s="182"/>
      <c r="J7" s="454"/>
      <c r="K7" s="455"/>
      <c r="L7" s="487"/>
      <c r="M7" s="488"/>
      <c r="N7" s="440"/>
      <c r="O7" s="440"/>
    </row>
    <row r="8" spans="1:15">
      <c r="B8" s="151">
        <v>2</v>
      </c>
      <c r="C8" s="152"/>
      <c r="D8" s="153"/>
      <c r="E8" s="151"/>
      <c r="F8" s="151"/>
      <c r="G8" s="151"/>
      <c r="H8" s="183"/>
      <c r="I8" s="182"/>
      <c r="J8" s="454"/>
      <c r="K8" s="455"/>
      <c r="L8" s="487"/>
      <c r="M8" s="488"/>
      <c r="N8" s="440"/>
      <c r="O8" s="440"/>
    </row>
    <row r="9" spans="1:15">
      <c r="B9" s="151">
        <v>3</v>
      </c>
      <c r="C9" s="152"/>
      <c r="D9" s="153"/>
      <c r="E9" s="151"/>
      <c r="F9" s="151"/>
      <c r="G9" s="151"/>
      <c r="H9" s="183"/>
      <c r="I9" s="182"/>
      <c r="J9" s="454"/>
      <c r="K9" s="455"/>
      <c r="L9" s="487"/>
      <c r="M9" s="488"/>
      <c r="N9" s="440"/>
      <c r="O9" s="440"/>
    </row>
    <row r="10" spans="1:15">
      <c r="B10" s="151">
        <v>4</v>
      </c>
      <c r="C10" s="152"/>
      <c r="D10" s="153"/>
      <c r="E10" s="151"/>
      <c r="F10" s="151"/>
      <c r="G10" s="151"/>
      <c r="H10" s="183"/>
      <c r="I10" s="182"/>
      <c r="J10" s="454"/>
      <c r="K10" s="455"/>
      <c r="L10" s="487"/>
      <c r="M10" s="488"/>
      <c r="N10" s="440"/>
      <c r="O10" s="440"/>
    </row>
    <row r="11" spans="1:15">
      <c r="B11" s="151">
        <v>5</v>
      </c>
      <c r="C11" s="152"/>
      <c r="D11" s="153"/>
      <c r="E11" s="151"/>
      <c r="F11" s="151"/>
      <c r="G11" s="151"/>
      <c r="H11" s="183"/>
      <c r="I11" s="182"/>
      <c r="J11" s="454"/>
      <c r="K11" s="455"/>
      <c r="L11" s="487"/>
      <c r="M11" s="488"/>
      <c r="N11" s="440"/>
      <c r="O11" s="440"/>
    </row>
    <row r="12" spans="1:15">
      <c r="B12" s="151">
        <v>6</v>
      </c>
      <c r="C12" s="152"/>
      <c r="D12" s="153"/>
      <c r="E12" s="151"/>
      <c r="F12" s="151"/>
      <c r="G12" s="151"/>
      <c r="H12" s="183"/>
      <c r="I12" s="182"/>
      <c r="J12" s="454"/>
      <c r="K12" s="455"/>
      <c r="L12" s="487"/>
      <c r="M12" s="488"/>
      <c r="N12" s="440"/>
      <c r="O12" s="440"/>
    </row>
    <row r="13" spans="1:15" ht="13.8" thickBot="1">
      <c r="B13" s="94"/>
      <c r="C13" s="94"/>
      <c r="D13" s="94"/>
      <c r="E13" s="94"/>
      <c r="F13" s="94"/>
      <c r="G13" s="94"/>
      <c r="H13" s="94"/>
      <c r="I13" s="94"/>
      <c r="J13" s="95"/>
      <c r="K13" s="94"/>
      <c r="L13" s="94"/>
      <c r="M13" s="94"/>
      <c r="N13" s="94"/>
      <c r="O13" s="90"/>
    </row>
    <row r="14" spans="1:15" ht="13.8" thickBot="1">
      <c r="B14" s="475" t="s">
        <v>11</v>
      </c>
      <c r="C14" s="475"/>
      <c r="D14" s="475"/>
      <c r="E14" s="475"/>
      <c r="F14" s="475"/>
      <c r="G14" s="475"/>
      <c r="H14" s="475"/>
      <c r="I14" s="475"/>
      <c r="J14" s="475"/>
      <c r="K14" s="475"/>
      <c r="L14" s="475"/>
      <c r="M14" s="475"/>
      <c r="N14" s="475"/>
      <c r="O14" s="96"/>
    </row>
    <row r="15" spans="1:15" ht="54.9" customHeight="1">
      <c r="B15" s="468"/>
      <c r="C15" s="468"/>
      <c r="D15" s="468"/>
      <c r="E15" s="468"/>
      <c r="F15" s="468"/>
      <c r="G15" s="468"/>
      <c r="H15" s="468"/>
      <c r="I15" s="468"/>
      <c r="J15" s="468"/>
      <c r="K15" s="468"/>
      <c r="L15" s="468"/>
      <c r="M15" s="468"/>
      <c r="N15" s="468"/>
      <c r="O15" s="468"/>
    </row>
    <row r="16" spans="1:15" ht="18.75" customHeight="1">
      <c r="B16" s="489" t="s">
        <v>330</v>
      </c>
      <c r="C16" s="489"/>
      <c r="D16" s="489"/>
      <c r="E16" s="489"/>
      <c r="F16" s="489"/>
      <c r="G16" s="489"/>
      <c r="H16" s="489"/>
      <c r="I16" s="489"/>
      <c r="J16" s="489"/>
      <c r="K16" s="489"/>
      <c r="L16" s="489"/>
      <c r="M16" s="489"/>
      <c r="N16" s="489"/>
      <c r="O16" s="489"/>
    </row>
    <row r="17" spans="2:15" ht="12.75" customHeight="1">
      <c r="B17" s="489"/>
      <c r="C17" s="489"/>
      <c r="D17" s="489"/>
      <c r="E17" s="489"/>
      <c r="F17" s="489"/>
      <c r="G17" s="489"/>
      <c r="H17" s="489"/>
      <c r="I17" s="489"/>
      <c r="J17" s="489"/>
      <c r="K17" s="489"/>
      <c r="L17" s="489"/>
      <c r="M17" s="489"/>
      <c r="N17" s="489"/>
      <c r="O17" s="489"/>
    </row>
    <row r="18" spans="2:15" ht="24.75" customHeight="1">
      <c r="B18" s="161"/>
      <c r="C18" s="417" t="s">
        <v>336</v>
      </c>
      <c r="D18" s="418"/>
      <c r="E18" s="418"/>
      <c r="F18" s="418"/>
      <c r="G18" s="419"/>
      <c r="H18" s="417" t="s">
        <v>264</v>
      </c>
      <c r="I18" s="418"/>
      <c r="J18" s="418"/>
      <c r="K18" s="419"/>
      <c r="L18" s="364" t="s">
        <v>12</v>
      </c>
      <c r="M18" s="365"/>
      <c r="N18" s="364" t="s">
        <v>259</v>
      </c>
      <c r="O18" s="365"/>
    </row>
    <row r="19" spans="2:15" ht="22.5" customHeight="1">
      <c r="B19" s="97">
        <f>COUNT(J7:J12)</f>
        <v>0</v>
      </c>
      <c r="C19" s="476"/>
      <c r="D19" s="490"/>
      <c r="E19" s="490"/>
      <c r="F19" s="490"/>
      <c r="G19" s="477"/>
      <c r="H19" s="485"/>
      <c r="I19" s="491"/>
      <c r="J19" s="491"/>
      <c r="K19" s="486"/>
      <c r="L19" s="485"/>
      <c r="M19" s="486"/>
      <c r="N19" s="485"/>
      <c r="O19" s="486"/>
    </row>
    <row r="20" spans="2:15" ht="20.100000000000001" customHeight="1" thickBot="1">
      <c r="B20" s="474" t="s">
        <v>337</v>
      </c>
      <c r="C20" s="474"/>
      <c r="D20" s="474"/>
      <c r="E20" s="474"/>
      <c r="F20" s="474"/>
      <c r="G20" s="474"/>
      <c r="H20" s="474"/>
      <c r="I20" s="474"/>
      <c r="J20" s="474"/>
      <c r="K20" s="474"/>
      <c r="L20" s="474"/>
      <c r="M20" s="474"/>
      <c r="N20" s="474"/>
      <c r="O20" s="474"/>
    </row>
    <row r="21" spans="2:15" s="3" customFormat="1">
      <c r="B21" s="313" t="s">
        <v>253</v>
      </c>
      <c r="C21" s="313"/>
      <c r="D21" s="313"/>
      <c r="E21" s="313"/>
      <c r="F21" s="313"/>
      <c r="G21" s="313"/>
      <c r="H21" s="313"/>
      <c r="I21" s="313"/>
      <c r="J21" s="313"/>
      <c r="K21" s="313"/>
      <c r="L21" s="313"/>
      <c r="M21" s="313"/>
      <c r="N21" s="313"/>
      <c r="O21" s="88"/>
    </row>
    <row r="22" spans="2:15" s="3" customFormat="1" ht="9.75" customHeight="1">
      <c r="B22" s="62"/>
      <c r="C22" s="62"/>
      <c r="D22" s="62"/>
      <c r="E22" s="62"/>
      <c r="F22" s="62"/>
      <c r="G22" s="62"/>
      <c r="H22" s="62"/>
      <c r="I22" s="59"/>
      <c r="J22" s="64"/>
      <c r="K22" s="64"/>
    </row>
    <row r="23" spans="2:15" s="3" customFormat="1" ht="12.75" customHeight="1">
      <c r="B23" s="86" t="s">
        <v>338</v>
      </c>
      <c r="C23" s="62"/>
      <c r="D23" s="62"/>
      <c r="E23" s="62"/>
      <c r="F23" s="62"/>
      <c r="G23" s="62"/>
      <c r="H23" s="62"/>
      <c r="I23" s="59"/>
      <c r="J23" s="64"/>
      <c r="K23" s="64"/>
    </row>
    <row r="24" spans="2:15" s="3" customFormat="1" ht="12.75" customHeight="1">
      <c r="B24" s="54"/>
      <c r="C24" s="90"/>
      <c r="D24" s="84"/>
      <c r="E24" s="84"/>
      <c r="F24" s="84"/>
      <c r="G24" s="84"/>
      <c r="H24" s="84"/>
      <c r="I24" s="85"/>
      <c r="J24" s="64"/>
      <c r="K24" s="64"/>
    </row>
    <row r="25" spans="2:15" s="3" customFormat="1" ht="12.75" customHeight="1">
      <c r="B25" s="84"/>
      <c r="C25" s="84"/>
      <c r="D25" s="84"/>
      <c r="E25" s="84"/>
      <c r="F25" s="84"/>
      <c r="G25" s="84"/>
      <c r="H25" s="84"/>
      <c r="I25" s="85"/>
      <c r="J25" s="64"/>
      <c r="K25" s="64"/>
      <c r="L25" s="462" t="s">
        <v>36</v>
      </c>
      <c r="M25" s="462"/>
      <c r="N25" s="462"/>
      <c r="O25" s="105">
        <f>B19</f>
        <v>0</v>
      </c>
    </row>
    <row r="26" spans="2:15" s="3" customFormat="1">
      <c r="B26" s="62"/>
      <c r="C26" s="62"/>
      <c r="D26" s="62"/>
      <c r="E26" s="62"/>
      <c r="F26" s="62"/>
      <c r="G26" s="62"/>
      <c r="H26" s="62"/>
      <c r="I26" s="65"/>
      <c r="J26" s="65"/>
      <c r="K26" s="14"/>
      <c r="L26" s="462" t="s">
        <v>37</v>
      </c>
      <c r="M26" s="462"/>
      <c r="N26" s="462"/>
      <c r="O26" s="78" t="e">
        <f>AVERAGE(J7:K12)</f>
        <v>#DIV/0!</v>
      </c>
    </row>
    <row r="27" spans="2:15" s="3" customFormat="1" ht="12.75" customHeight="1">
      <c r="B27" s="54"/>
      <c r="C27" s="14"/>
      <c r="D27" s="14"/>
      <c r="E27" s="14"/>
      <c r="F27" s="14"/>
      <c r="G27" s="14"/>
      <c r="H27" s="14"/>
      <c r="I27" s="14"/>
      <c r="J27" s="14"/>
      <c r="K27" s="14"/>
      <c r="L27" s="462" t="s">
        <v>39</v>
      </c>
      <c r="M27" s="462"/>
      <c r="N27" s="462"/>
      <c r="O27" s="78" t="e">
        <f>STDEV(J7:K12)</f>
        <v>#DIV/0!</v>
      </c>
    </row>
    <row r="28" spans="2:15" s="3" customFormat="1" ht="12.75" customHeight="1">
      <c r="B28" s="62"/>
      <c r="C28" s="62"/>
      <c r="D28" s="62"/>
      <c r="E28" s="62"/>
      <c r="F28" s="62"/>
      <c r="G28" s="62"/>
      <c r="H28" s="62"/>
      <c r="I28" s="59"/>
      <c r="J28" s="54"/>
      <c r="K28" s="54"/>
      <c r="L28" s="462" t="s">
        <v>38</v>
      </c>
      <c r="M28" s="462"/>
      <c r="N28" s="462"/>
      <c r="O28" s="78" t="e">
        <f>GEOMEAN(O25:O27)</f>
        <v>#DIV/0!</v>
      </c>
    </row>
    <row r="29" spans="2:15" s="3" customFormat="1" ht="12.75" customHeight="1">
      <c r="B29" s="62"/>
      <c r="C29" s="62"/>
      <c r="D29" s="62"/>
      <c r="E29" s="62"/>
      <c r="F29" s="62"/>
      <c r="G29" s="62"/>
      <c r="H29" s="62"/>
      <c r="I29" s="59"/>
      <c r="J29" s="54"/>
      <c r="K29" s="54"/>
      <c r="L29" s="462" t="s">
        <v>244</v>
      </c>
      <c r="M29" s="462"/>
      <c r="N29" s="462"/>
      <c r="O29" s="78" t="e">
        <f>O27</f>
        <v>#DIV/0!</v>
      </c>
    </row>
    <row r="30" spans="2:15" s="3" customFormat="1" ht="12.75" customHeight="1">
      <c r="B30" s="62"/>
      <c r="C30" s="62"/>
      <c r="D30" s="62"/>
      <c r="E30" s="62"/>
      <c r="F30" s="62"/>
      <c r="G30" s="62"/>
      <c r="H30" s="62"/>
      <c r="I30" s="59"/>
      <c r="J30" s="54"/>
      <c r="K30" s="54"/>
      <c r="L30" s="462" t="s">
        <v>40</v>
      </c>
      <c r="M30" s="462"/>
      <c r="N30" s="462"/>
      <c r="O30" s="78"/>
    </row>
    <row r="31" spans="2:15" s="3" customFormat="1" ht="12.75" customHeight="1">
      <c r="B31" s="62"/>
      <c r="C31" s="62"/>
      <c r="D31" s="62"/>
      <c r="E31" s="62"/>
      <c r="F31" s="62"/>
      <c r="G31" s="62"/>
      <c r="H31" s="62"/>
      <c r="I31" s="59"/>
      <c r="J31" s="54"/>
      <c r="K31" s="54"/>
      <c r="O31" s="54"/>
    </row>
    <row r="32" spans="2:15" s="3" customFormat="1" ht="12.75" customHeight="1">
      <c r="B32" s="62"/>
      <c r="C32" s="62"/>
      <c r="D32" s="62"/>
      <c r="E32" s="62"/>
      <c r="F32" s="62"/>
      <c r="G32" s="62"/>
      <c r="H32" s="62"/>
      <c r="I32" s="59"/>
      <c r="J32" s="54"/>
      <c r="K32" s="54"/>
      <c r="O32" s="54"/>
    </row>
    <row r="33" spans="2:15" s="3" customFormat="1" ht="12.75" customHeight="1">
      <c r="B33" s="62"/>
      <c r="C33" s="62"/>
      <c r="D33" s="62"/>
      <c r="E33" s="62"/>
      <c r="F33" s="62"/>
      <c r="G33" s="62"/>
      <c r="H33" s="62"/>
      <c r="I33" s="59"/>
      <c r="J33" s="54"/>
      <c r="K33" s="54"/>
      <c r="O33" s="54"/>
    </row>
    <row r="34" spans="2:15" s="3" customFormat="1" ht="12.75" customHeight="1">
      <c r="B34" s="62"/>
      <c r="C34" s="62"/>
      <c r="D34" s="62"/>
      <c r="E34" s="62"/>
      <c r="F34" s="62"/>
      <c r="G34" s="62"/>
      <c r="H34" s="62"/>
      <c r="I34" s="59"/>
      <c r="J34" s="64"/>
      <c r="K34" s="64"/>
      <c r="O34" s="54"/>
    </row>
    <row r="35" spans="2:15" s="3" customFormat="1" ht="12.75" customHeight="1">
      <c r="B35" s="62"/>
      <c r="C35" s="62"/>
      <c r="D35" s="62"/>
      <c r="E35" s="62"/>
      <c r="F35" s="62"/>
      <c r="G35" s="62"/>
      <c r="H35" s="62"/>
      <c r="I35" s="59"/>
      <c r="J35" s="64"/>
      <c r="K35" s="64"/>
      <c r="L35" s="64"/>
      <c r="M35" s="55"/>
      <c r="N35" s="54"/>
      <c r="O35" s="54"/>
    </row>
    <row r="36" spans="2:15" s="3" customFormat="1" ht="12.75" customHeight="1">
      <c r="B36" s="62"/>
      <c r="C36" s="62"/>
      <c r="D36" s="62"/>
      <c r="E36" s="62"/>
      <c r="F36" s="62"/>
      <c r="G36" s="62"/>
      <c r="H36" s="62"/>
      <c r="I36" s="59"/>
      <c r="J36" s="64"/>
      <c r="K36" s="64"/>
      <c r="L36" s="64"/>
      <c r="M36" s="55"/>
      <c r="N36" s="54"/>
      <c r="O36" s="54"/>
    </row>
    <row r="37" spans="2:15" s="3" customFormat="1" ht="12.75" customHeight="1">
      <c r="B37" s="62"/>
      <c r="C37" s="62"/>
      <c r="D37" s="62"/>
      <c r="E37" s="62"/>
      <c r="F37" s="62"/>
      <c r="G37" s="62"/>
      <c r="H37" s="62"/>
      <c r="I37" s="59"/>
      <c r="J37" s="64"/>
      <c r="K37" s="64"/>
      <c r="L37" s="64"/>
      <c r="M37" s="55"/>
      <c r="N37" s="54"/>
      <c r="O37" s="54"/>
    </row>
    <row r="38" spans="2:15" s="3" customFormat="1" ht="12.75" customHeight="1" thickBot="1">
      <c r="B38" s="7"/>
      <c r="C38" s="7"/>
      <c r="D38" s="7"/>
      <c r="E38" s="7"/>
      <c r="F38" s="7"/>
      <c r="G38" s="7"/>
      <c r="H38" s="7"/>
      <c r="I38" s="91"/>
      <c r="J38" s="92"/>
      <c r="K38" s="92"/>
      <c r="L38" s="92"/>
      <c r="M38" s="93"/>
      <c r="N38" s="89"/>
      <c r="O38" s="89"/>
    </row>
    <row r="39" spans="2:15" s="3" customFormat="1">
      <c r="B39" s="11"/>
      <c r="C39" s="11"/>
      <c r="D39" s="12"/>
      <c r="E39" s="12"/>
      <c r="F39" s="12"/>
      <c r="G39" s="12"/>
      <c r="H39" s="12"/>
      <c r="I39" s="12"/>
      <c r="J39" s="13"/>
      <c r="K39" s="11"/>
      <c r="L39" s="11"/>
      <c r="M39" s="11"/>
      <c r="N39" s="11"/>
      <c r="O39" s="54"/>
    </row>
    <row r="40" spans="2:15" s="3" customFormat="1" ht="13.8" thickBot="1">
      <c r="B40" s="11"/>
      <c r="C40" s="11"/>
      <c r="D40" s="12"/>
      <c r="E40" s="12"/>
      <c r="F40" s="12"/>
      <c r="G40" s="12"/>
      <c r="H40" s="12"/>
      <c r="I40" s="12"/>
      <c r="J40" s="13"/>
      <c r="K40" s="11"/>
      <c r="L40" s="11"/>
      <c r="M40" s="11"/>
      <c r="N40" s="11"/>
      <c r="O40" s="54"/>
    </row>
    <row r="41" spans="2:15" s="3" customFormat="1" ht="12.75" customHeight="1">
      <c r="B41" s="392" t="s">
        <v>282</v>
      </c>
      <c r="C41" s="392"/>
      <c r="D41" s="392"/>
      <c r="E41" s="392"/>
      <c r="F41" s="392"/>
      <c r="G41" s="392"/>
      <c r="H41" s="392"/>
      <c r="I41" s="392"/>
      <c r="J41" s="392"/>
      <c r="K41" s="392"/>
      <c r="L41" s="392"/>
      <c r="M41" s="392"/>
      <c r="N41" s="392"/>
      <c r="O41" s="392"/>
    </row>
    <row r="42" spans="2:15" s="3" customFormat="1" ht="41.25" customHeight="1">
      <c r="B42" s="461" t="s">
        <v>280</v>
      </c>
      <c r="C42" s="461"/>
      <c r="D42" s="461"/>
      <c r="E42" s="461"/>
      <c r="F42" s="461"/>
      <c r="G42" s="461"/>
      <c r="H42" s="461"/>
      <c r="I42" s="461" t="s">
        <v>283</v>
      </c>
      <c r="J42" s="461"/>
      <c r="K42" s="461"/>
      <c r="L42" s="461" t="s">
        <v>251</v>
      </c>
      <c r="M42" s="461"/>
      <c r="N42" s="461"/>
      <c r="O42" s="461"/>
    </row>
    <row r="43" spans="2:15" s="3" customFormat="1">
      <c r="B43" s="380"/>
      <c r="C43" s="380"/>
      <c r="D43" s="380"/>
      <c r="E43" s="380"/>
      <c r="F43" s="380"/>
      <c r="G43" s="380"/>
      <c r="H43" s="380"/>
      <c r="I43" s="460"/>
      <c r="J43" s="460"/>
      <c r="K43" s="460"/>
      <c r="L43" s="380"/>
      <c r="M43" s="380"/>
      <c r="N43" s="380"/>
      <c r="O43" s="380"/>
    </row>
    <row r="44" spans="2:15" s="3" customFormat="1">
      <c r="B44" s="380"/>
      <c r="C44" s="380"/>
      <c r="D44" s="380"/>
      <c r="E44" s="380"/>
      <c r="F44" s="380"/>
      <c r="G44" s="380"/>
      <c r="H44" s="380"/>
      <c r="I44" s="460"/>
      <c r="J44" s="460"/>
      <c r="K44" s="460"/>
      <c r="L44" s="380"/>
      <c r="M44" s="380"/>
      <c r="N44" s="380"/>
      <c r="O44" s="380"/>
    </row>
    <row r="45" spans="2:15" s="3" customFormat="1">
      <c r="B45" s="380"/>
      <c r="C45" s="380"/>
      <c r="D45" s="380"/>
      <c r="E45" s="380"/>
      <c r="F45" s="380"/>
      <c r="G45" s="380"/>
      <c r="H45" s="380"/>
      <c r="I45" s="460"/>
      <c r="J45" s="460"/>
      <c r="K45" s="460"/>
      <c r="L45" s="380"/>
      <c r="M45" s="380"/>
      <c r="N45" s="380"/>
      <c r="O45" s="380"/>
    </row>
    <row r="46" spans="2:15" s="3" customFormat="1" ht="13.8" thickBot="1">
      <c r="B46" s="157"/>
      <c r="C46" s="157"/>
      <c r="D46" s="157"/>
      <c r="E46" s="157"/>
      <c r="F46" s="157"/>
      <c r="G46" s="157"/>
      <c r="H46" s="157"/>
      <c r="I46" s="139"/>
      <c r="J46" s="139"/>
      <c r="K46" s="139"/>
      <c r="L46" s="157"/>
      <c r="M46" s="157"/>
      <c r="N46" s="157"/>
      <c r="O46" s="157"/>
    </row>
    <row r="47" spans="2:15" ht="12.75" customHeight="1" thickBot="1">
      <c r="B47" s="313" t="s">
        <v>281</v>
      </c>
      <c r="C47" s="313"/>
      <c r="D47" s="313"/>
      <c r="E47" s="313"/>
      <c r="F47" s="313"/>
      <c r="G47" s="313"/>
      <c r="H47" s="313"/>
      <c r="I47" s="313"/>
      <c r="J47" s="313"/>
      <c r="K47" s="313"/>
      <c r="L47" s="313"/>
      <c r="M47" s="313"/>
      <c r="N47" s="313"/>
      <c r="O47" s="313"/>
    </row>
    <row r="48" spans="2:15" ht="53.25" customHeight="1" thickBot="1">
      <c r="B48" s="313"/>
      <c r="C48" s="313"/>
      <c r="D48" s="313"/>
      <c r="E48" s="313"/>
      <c r="F48" s="313"/>
      <c r="G48" s="313"/>
      <c r="H48" s="313"/>
      <c r="I48" s="313"/>
      <c r="J48" s="313"/>
      <c r="K48" s="313"/>
      <c r="L48" s="313"/>
      <c r="M48" s="313"/>
      <c r="N48" s="313"/>
      <c r="O48" s="313"/>
    </row>
    <row r="49" spans="2:15" ht="12.75" customHeight="1">
      <c r="B49" s="313" t="s">
        <v>13</v>
      </c>
      <c r="C49" s="313"/>
      <c r="D49" s="313"/>
      <c r="E49" s="313"/>
      <c r="F49" s="313"/>
      <c r="G49" s="313"/>
      <c r="H49" s="313"/>
      <c r="I49" s="313"/>
      <c r="J49" s="313"/>
      <c r="K49" s="313"/>
      <c r="L49" s="313"/>
      <c r="M49" s="313"/>
      <c r="N49" s="313"/>
      <c r="O49" s="313"/>
    </row>
    <row r="50" spans="2:15" ht="66" customHeight="1" thickBot="1">
      <c r="B50" s="424"/>
      <c r="C50" s="424"/>
      <c r="D50" s="424"/>
      <c r="E50" s="424"/>
      <c r="F50" s="424"/>
      <c r="G50" s="424"/>
      <c r="H50" s="424"/>
      <c r="I50" s="424"/>
      <c r="J50" s="424"/>
      <c r="K50" s="424"/>
      <c r="L50" s="424"/>
      <c r="M50" s="424"/>
      <c r="N50" s="424"/>
      <c r="O50" s="424"/>
    </row>
    <row r="51" spans="2:15" ht="12.75" customHeight="1">
      <c r="B51" s="313" t="s">
        <v>301</v>
      </c>
      <c r="C51" s="313"/>
      <c r="D51" s="313"/>
      <c r="E51" s="313"/>
      <c r="F51" s="313"/>
      <c r="G51" s="313"/>
      <c r="H51" s="313"/>
      <c r="I51" s="313"/>
      <c r="J51" s="313"/>
      <c r="K51" s="313"/>
      <c r="L51" s="313"/>
      <c r="M51" s="313"/>
      <c r="N51" s="313"/>
      <c r="O51" s="313"/>
    </row>
    <row r="52" spans="2:15" ht="57" customHeight="1" thickBot="1">
      <c r="B52" s="311"/>
      <c r="C52" s="311"/>
      <c r="D52" s="311"/>
      <c r="E52" s="311"/>
      <c r="F52" s="311"/>
      <c r="G52" s="311"/>
      <c r="H52" s="311"/>
      <c r="I52" s="311"/>
      <c r="J52" s="311"/>
      <c r="K52" s="311"/>
      <c r="L52" s="311"/>
      <c r="M52" s="311"/>
      <c r="N52" s="311"/>
      <c r="O52" s="311"/>
    </row>
    <row r="53" spans="2:15" ht="12.75" customHeight="1">
      <c r="B53" s="313" t="s">
        <v>302</v>
      </c>
      <c r="C53" s="313"/>
      <c r="D53" s="313"/>
      <c r="E53" s="313"/>
      <c r="F53" s="313"/>
      <c r="G53" s="313"/>
      <c r="H53" s="313"/>
      <c r="I53" s="313"/>
      <c r="J53" s="313"/>
      <c r="K53" s="313"/>
      <c r="L53" s="313"/>
      <c r="M53" s="313"/>
      <c r="N53" s="313"/>
      <c r="O53" s="313"/>
    </row>
    <row r="54" spans="2:15" ht="66.75" customHeight="1" thickBot="1">
      <c r="B54" s="310"/>
      <c r="C54" s="310"/>
      <c r="D54" s="310"/>
      <c r="E54" s="310"/>
      <c r="F54" s="310"/>
      <c r="G54" s="310"/>
      <c r="H54" s="310"/>
      <c r="I54" s="310"/>
      <c r="J54" s="310"/>
      <c r="K54" s="310"/>
      <c r="L54" s="310"/>
      <c r="M54" s="310"/>
      <c r="N54" s="310"/>
      <c r="O54" s="310"/>
    </row>
    <row r="55" spans="2:15" ht="12.75" customHeight="1">
      <c r="B55" s="313" t="s">
        <v>14</v>
      </c>
      <c r="C55" s="313"/>
      <c r="D55" s="313"/>
      <c r="E55" s="313"/>
      <c r="F55" s="313"/>
      <c r="G55" s="313"/>
      <c r="H55" s="313"/>
      <c r="I55" s="313"/>
      <c r="J55" s="313"/>
      <c r="K55" s="313"/>
      <c r="L55" s="313"/>
      <c r="M55" s="313"/>
      <c r="N55" s="313"/>
      <c r="O55" s="313"/>
    </row>
    <row r="56" spans="2:15" ht="12.75" customHeight="1">
      <c r="B56" s="445" t="s">
        <v>15</v>
      </c>
      <c r="C56" s="445"/>
      <c r="D56" s="445"/>
      <c r="E56" s="445"/>
      <c r="F56" s="445"/>
      <c r="G56" s="445" t="s">
        <v>16</v>
      </c>
      <c r="H56" s="445"/>
      <c r="I56" s="445"/>
      <c r="J56" s="445"/>
      <c r="K56" s="402" t="s">
        <v>17</v>
      </c>
      <c r="L56" s="403"/>
      <c r="M56" s="403"/>
      <c r="N56" s="403"/>
      <c r="O56" s="404"/>
    </row>
    <row r="57" spans="2:15" ht="66.75" customHeight="1">
      <c r="B57" s="383"/>
      <c r="C57" s="383"/>
      <c r="D57" s="383"/>
      <c r="E57" s="383"/>
      <c r="F57" s="383"/>
      <c r="G57" s="383"/>
      <c r="H57" s="383"/>
      <c r="I57" s="383"/>
      <c r="J57" s="383"/>
      <c r="K57" s="478"/>
      <c r="L57" s="479"/>
      <c r="M57" s="479"/>
      <c r="N57" s="479"/>
      <c r="O57" s="432"/>
    </row>
    <row r="59" spans="2:15">
      <c r="C59" s="116"/>
    </row>
    <row r="60" spans="2:15">
      <c r="C60" s="116"/>
    </row>
  </sheetData>
  <mergeCells count="81">
    <mergeCell ref="B5:B6"/>
    <mergeCell ref="C5:C6"/>
    <mergeCell ref="B2:C3"/>
    <mergeCell ref="D2:K3"/>
    <mergeCell ref="L2:N3"/>
    <mergeCell ref="O2:O3"/>
    <mergeCell ref="B4:C4"/>
    <mergeCell ref="N9:O9"/>
    <mergeCell ref="L11:M11"/>
    <mergeCell ref="N10:O10"/>
    <mergeCell ref="D5:D6"/>
    <mergeCell ref="E5:E6"/>
    <mergeCell ref="F5:F6"/>
    <mergeCell ref="H5:H6"/>
    <mergeCell ref="I5:I6"/>
    <mergeCell ref="G5:G6"/>
    <mergeCell ref="L5:M6"/>
    <mergeCell ref="N5:O6"/>
    <mergeCell ref="J5:K6"/>
    <mergeCell ref="B55:O55"/>
    <mergeCell ref="B20:O20"/>
    <mergeCell ref="B21:N21"/>
    <mergeCell ref="L12:M12"/>
    <mergeCell ref="N12:O12"/>
    <mergeCell ref="B14:N14"/>
    <mergeCell ref="B15:O15"/>
    <mergeCell ref="J12:K12"/>
    <mergeCell ref="H18:K18"/>
    <mergeCell ref="H19:K19"/>
    <mergeCell ref="C18:G18"/>
    <mergeCell ref="N7:O7"/>
    <mergeCell ref="B16:O17"/>
    <mergeCell ref="I43:K43"/>
    <mergeCell ref="L43:O43"/>
    <mergeCell ref="L25:N25"/>
    <mergeCell ref="L26:N26"/>
    <mergeCell ref="B41:O41"/>
    <mergeCell ref="B42:H42"/>
    <mergeCell ref="I42:K42"/>
    <mergeCell ref="L42:O42"/>
    <mergeCell ref="B43:H43"/>
    <mergeCell ref="C19:G19"/>
    <mergeCell ref="N11:O11"/>
    <mergeCell ref="J11:K11"/>
    <mergeCell ref="L8:M8"/>
    <mergeCell ref="N8:O8"/>
    <mergeCell ref="J7:K7"/>
    <mergeCell ref="J8:K8"/>
    <mergeCell ref="J9:K9"/>
    <mergeCell ref="J10:K10"/>
    <mergeCell ref="L10:M10"/>
    <mergeCell ref="L7:M7"/>
    <mergeCell ref="L9:M9"/>
    <mergeCell ref="L28:N28"/>
    <mergeCell ref="L29:N29"/>
    <mergeCell ref="L30:N30"/>
    <mergeCell ref="L18:M18"/>
    <mergeCell ref="L19:M19"/>
    <mergeCell ref="N19:O19"/>
    <mergeCell ref="L27:N27"/>
    <mergeCell ref="N18:O18"/>
    <mergeCell ref="B44:H44"/>
    <mergeCell ref="I44:K44"/>
    <mergeCell ref="B53:O53"/>
    <mergeCell ref="B54:O54"/>
    <mergeCell ref="B52:O52"/>
    <mergeCell ref="L44:O44"/>
    <mergeCell ref="B45:H45"/>
    <mergeCell ref="I45:K45"/>
    <mergeCell ref="L45:O45"/>
    <mergeCell ref="B47:O47"/>
    <mergeCell ref="B48:O48"/>
    <mergeCell ref="B49:O49"/>
    <mergeCell ref="B50:O50"/>
    <mergeCell ref="B51:O51"/>
    <mergeCell ref="B57:F57"/>
    <mergeCell ref="G56:J56"/>
    <mergeCell ref="G57:J57"/>
    <mergeCell ref="K56:O56"/>
    <mergeCell ref="K57:O57"/>
    <mergeCell ref="B56:F56"/>
  </mergeCells>
  <phoneticPr fontId="2" type="noConversion"/>
  <printOptions horizontalCentered="1"/>
  <pageMargins left="0.39370078740157483" right="0.39370078740157483" top="0.51181102362204722" bottom="0.51181102362204722" header="0.31496062992125984" footer="0.31496062992125984"/>
  <pageSetup paperSize="9" orientation="portrait" r:id="rId1"/>
  <headerFooter>
    <oddFooter>&amp;RRevisão: 00          
11.06.2012</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249977111117893"/>
  </sheetPr>
  <dimension ref="A1:O60"/>
  <sheetViews>
    <sheetView showGridLines="0" topLeftCell="A8" zoomScaleNormal="100" workbookViewId="0">
      <selection activeCell="T6" sqref="T6"/>
    </sheetView>
  </sheetViews>
  <sheetFormatPr defaultColWidth="9.109375" defaultRowHeight="13.2"/>
  <cols>
    <col min="1" max="1" width="0.88671875" style="79" customWidth="1"/>
    <col min="2" max="2" width="4.33203125" style="79" customWidth="1"/>
    <col min="3" max="3" width="9.6640625" style="79" customWidth="1"/>
    <col min="4" max="6" width="11" style="79" customWidth="1"/>
    <col min="7" max="7" width="10.109375" style="79" customWidth="1"/>
    <col min="8" max="8" width="13.33203125" style="79" customWidth="1"/>
    <col min="9" max="9" width="14.33203125" style="79" customWidth="1"/>
    <col min="10" max="10" width="8.6640625" style="79" customWidth="1"/>
    <col min="11" max="11" width="16.109375" style="79" customWidth="1"/>
    <col min="12" max="12" width="11.33203125" style="79" customWidth="1"/>
    <col min="13" max="13" width="9.33203125" style="79" customWidth="1"/>
    <col min="14" max="14" width="8.6640625" style="79" customWidth="1"/>
    <col min="15" max="15" width="9.109375" style="79" customWidth="1"/>
    <col min="16" max="16384" width="9.109375" style="79"/>
  </cols>
  <sheetData>
    <row r="1" spans="1:15" ht="4.5" customHeight="1"/>
    <row r="2" spans="1:15" ht="57" customHeight="1">
      <c r="B2" s="482" t="s">
        <v>256</v>
      </c>
      <c r="C2" s="482"/>
      <c r="D2" s="451" t="s">
        <v>271</v>
      </c>
      <c r="E2" s="451"/>
      <c r="F2" s="451"/>
      <c r="G2" s="451"/>
      <c r="H2" s="451"/>
      <c r="I2" s="451"/>
      <c r="J2" s="451"/>
      <c r="K2" s="451"/>
      <c r="L2" s="391" t="s">
        <v>436</v>
      </c>
      <c r="M2" s="391"/>
      <c r="N2" s="391"/>
      <c r="O2" s="441" t="s">
        <v>270</v>
      </c>
    </row>
    <row r="3" spans="1:15" s="67" customFormat="1" ht="15" customHeight="1">
      <c r="A3" s="68"/>
      <c r="B3" s="482"/>
      <c r="C3" s="482"/>
      <c r="D3" s="451"/>
      <c r="E3" s="451"/>
      <c r="F3" s="451"/>
      <c r="G3" s="451"/>
      <c r="H3" s="451"/>
      <c r="I3" s="451"/>
      <c r="J3" s="451"/>
      <c r="K3" s="451"/>
      <c r="L3" s="391"/>
      <c r="M3" s="391"/>
      <c r="N3" s="391"/>
      <c r="O3" s="441"/>
    </row>
    <row r="4" spans="1:15" ht="23.25" customHeight="1">
      <c r="B4" s="493" t="s">
        <v>6</v>
      </c>
      <c r="C4" s="493"/>
      <c r="D4" s="231" t="s">
        <v>433</v>
      </c>
      <c r="E4" s="224"/>
      <c r="F4" s="224"/>
      <c r="G4" s="224"/>
      <c r="H4" s="224"/>
      <c r="I4" s="224"/>
      <c r="J4" s="225"/>
      <c r="K4" s="226"/>
      <c r="L4" s="158" t="s">
        <v>340</v>
      </c>
      <c r="M4" s="160"/>
      <c r="N4" s="160"/>
      <c r="O4" s="159"/>
    </row>
    <row r="5" spans="1:15" ht="12.75" customHeight="1">
      <c r="B5" s="338" t="s">
        <v>8</v>
      </c>
      <c r="C5" s="338" t="s">
        <v>9</v>
      </c>
      <c r="D5" s="338" t="s">
        <v>329</v>
      </c>
      <c r="E5" s="492" t="s">
        <v>332</v>
      </c>
      <c r="F5" s="492" t="s">
        <v>331</v>
      </c>
      <c r="G5" s="325" t="s">
        <v>394</v>
      </c>
      <c r="H5" s="338" t="s">
        <v>426</v>
      </c>
      <c r="I5" s="472" t="s">
        <v>432</v>
      </c>
      <c r="J5" s="496" t="s">
        <v>335</v>
      </c>
      <c r="K5" s="497"/>
      <c r="L5" s="496" t="s">
        <v>427</v>
      </c>
      <c r="M5" s="497"/>
      <c r="N5" s="494" t="s">
        <v>29</v>
      </c>
      <c r="O5" s="495"/>
    </row>
    <row r="6" spans="1:15" ht="24" customHeight="1">
      <c r="B6" s="338"/>
      <c r="C6" s="338"/>
      <c r="D6" s="338"/>
      <c r="E6" s="341"/>
      <c r="F6" s="341"/>
      <c r="G6" s="325"/>
      <c r="H6" s="338"/>
      <c r="I6" s="472"/>
      <c r="J6" s="417"/>
      <c r="K6" s="419"/>
      <c r="L6" s="417"/>
      <c r="M6" s="419"/>
      <c r="N6" s="348"/>
      <c r="O6" s="410"/>
    </row>
    <row r="7" spans="1:15">
      <c r="B7" s="151">
        <v>1</v>
      </c>
      <c r="C7" s="152"/>
      <c r="D7" s="153"/>
      <c r="E7" s="151"/>
      <c r="F7" s="151"/>
      <c r="G7" s="232"/>
      <c r="H7" s="232"/>
      <c r="I7" s="151"/>
      <c r="J7" s="454"/>
      <c r="K7" s="455"/>
      <c r="L7" s="487"/>
      <c r="M7" s="488"/>
      <c r="N7" s="440"/>
      <c r="O7" s="440"/>
    </row>
    <row r="8" spans="1:15">
      <c r="B8" s="151">
        <v>2</v>
      </c>
      <c r="C8" s="152"/>
      <c r="D8" s="153"/>
      <c r="E8" s="151"/>
      <c r="F8" s="151"/>
      <c r="G8" s="232"/>
      <c r="H8" s="232"/>
      <c r="I8" s="151"/>
      <c r="J8" s="454"/>
      <c r="K8" s="455"/>
      <c r="L8" s="487"/>
      <c r="M8" s="488"/>
      <c r="N8" s="440"/>
      <c r="O8" s="440"/>
    </row>
    <row r="9" spans="1:15">
      <c r="B9" s="151">
        <v>3</v>
      </c>
      <c r="C9" s="152"/>
      <c r="D9" s="153"/>
      <c r="E9" s="151"/>
      <c r="F9" s="151"/>
      <c r="G9" s="232"/>
      <c r="H9" s="232"/>
      <c r="I9" s="151"/>
      <c r="J9" s="454"/>
      <c r="K9" s="455"/>
      <c r="L9" s="487"/>
      <c r="M9" s="488"/>
      <c r="N9" s="440"/>
      <c r="O9" s="440"/>
    </row>
    <row r="10" spans="1:15">
      <c r="B10" s="151">
        <v>4</v>
      </c>
      <c r="C10" s="152"/>
      <c r="D10" s="153"/>
      <c r="E10" s="151"/>
      <c r="F10" s="151"/>
      <c r="G10" s="232"/>
      <c r="H10" s="232"/>
      <c r="I10" s="151"/>
      <c r="J10" s="454"/>
      <c r="K10" s="455"/>
      <c r="L10" s="487"/>
      <c r="M10" s="488"/>
      <c r="N10" s="440"/>
      <c r="O10" s="440"/>
    </row>
    <row r="11" spans="1:15">
      <c r="B11" s="151">
        <v>5</v>
      </c>
      <c r="C11" s="152"/>
      <c r="D11" s="153"/>
      <c r="E11" s="151"/>
      <c r="F11" s="151"/>
      <c r="G11" s="232"/>
      <c r="H11" s="232"/>
      <c r="I11" s="151"/>
      <c r="J11" s="454"/>
      <c r="K11" s="455"/>
      <c r="L11" s="487"/>
      <c r="M11" s="488"/>
      <c r="N11" s="440"/>
      <c r="O11" s="440"/>
    </row>
    <row r="12" spans="1:15">
      <c r="B12" s="151">
        <v>6</v>
      </c>
      <c r="C12" s="152"/>
      <c r="D12" s="153"/>
      <c r="E12" s="151"/>
      <c r="F12" s="151"/>
      <c r="G12" s="232"/>
      <c r="H12" s="232"/>
      <c r="I12" s="151"/>
      <c r="J12" s="454"/>
      <c r="K12" s="455"/>
      <c r="L12" s="487"/>
      <c r="M12" s="488"/>
      <c r="N12" s="440"/>
      <c r="O12" s="440"/>
    </row>
    <row r="13" spans="1:15" ht="13.8" thickBot="1">
      <c r="B13" s="94"/>
      <c r="C13" s="94"/>
      <c r="D13" s="94"/>
      <c r="E13" s="94"/>
      <c r="F13" s="94"/>
      <c r="G13" s="94"/>
      <c r="H13" s="94"/>
      <c r="I13" s="94"/>
      <c r="J13" s="95"/>
      <c r="K13" s="94"/>
      <c r="L13" s="94"/>
      <c r="M13" s="94"/>
      <c r="N13" s="94"/>
      <c r="O13" s="90"/>
    </row>
    <row r="14" spans="1:15">
      <c r="B14" s="498" t="s">
        <v>11</v>
      </c>
      <c r="C14" s="498"/>
      <c r="D14" s="498"/>
      <c r="E14" s="498"/>
      <c r="F14" s="498"/>
      <c r="G14" s="498"/>
      <c r="H14" s="498"/>
      <c r="I14" s="498"/>
      <c r="J14" s="498"/>
      <c r="K14" s="498"/>
      <c r="L14" s="498"/>
      <c r="M14" s="498"/>
      <c r="N14" s="498"/>
      <c r="O14" s="233"/>
    </row>
    <row r="15" spans="1:15" ht="54.9" customHeight="1">
      <c r="B15" s="499"/>
      <c r="C15" s="499"/>
      <c r="D15" s="499"/>
      <c r="E15" s="499"/>
      <c r="F15" s="499"/>
      <c r="G15" s="499"/>
      <c r="H15" s="499"/>
      <c r="I15" s="499"/>
      <c r="J15" s="499"/>
      <c r="K15" s="499"/>
      <c r="L15" s="499"/>
      <c r="M15" s="499"/>
      <c r="N15" s="499"/>
      <c r="O15" s="499"/>
    </row>
    <row r="16" spans="1:15" ht="18.75" customHeight="1">
      <c r="B16" s="500" t="s">
        <v>428</v>
      </c>
      <c r="C16" s="500"/>
      <c r="D16" s="500"/>
      <c r="E16" s="500"/>
      <c r="F16" s="500"/>
      <c r="G16" s="500"/>
      <c r="H16" s="500"/>
      <c r="I16" s="500"/>
      <c r="J16" s="500"/>
      <c r="K16" s="500"/>
      <c r="L16" s="500"/>
      <c r="M16" s="500"/>
      <c r="N16" s="500"/>
      <c r="O16" s="500"/>
    </row>
    <row r="17" spans="2:15" ht="12.75" customHeight="1">
      <c r="B17" s="500"/>
      <c r="C17" s="500"/>
      <c r="D17" s="500"/>
      <c r="E17" s="500"/>
      <c r="F17" s="500"/>
      <c r="G17" s="500"/>
      <c r="H17" s="500"/>
      <c r="I17" s="500"/>
      <c r="J17" s="500"/>
      <c r="K17" s="500"/>
      <c r="L17" s="500"/>
      <c r="M17" s="500"/>
      <c r="N17" s="500"/>
      <c r="O17" s="500"/>
    </row>
    <row r="18" spans="2:15" ht="24.75" customHeight="1">
      <c r="B18" s="161"/>
      <c r="C18" s="417" t="s">
        <v>336</v>
      </c>
      <c r="D18" s="418"/>
      <c r="E18" s="418"/>
      <c r="F18" s="418"/>
      <c r="G18" s="419"/>
      <c r="H18" s="417" t="s">
        <v>427</v>
      </c>
      <c r="I18" s="418"/>
      <c r="J18" s="418"/>
      <c r="K18" s="419"/>
      <c r="L18" s="364" t="s">
        <v>12</v>
      </c>
      <c r="M18" s="365"/>
      <c r="N18" s="364" t="s">
        <v>259</v>
      </c>
      <c r="O18" s="365"/>
    </row>
    <row r="19" spans="2:15" ht="22.5" customHeight="1">
      <c r="B19" s="97">
        <f>COUNT(J7:J12)</f>
        <v>0</v>
      </c>
      <c r="C19" s="476"/>
      <c r="D19" s="490"/>
      <c r="E19" s="490"/>
      <c r="F19" s="490"/>
      <c r="G19" s="477"/>
      <c r="H19" s="485"/>
      <c r="I19" s="491"/>
      <c r="J19" s="491"/>
      <c r="K19" s="486"/>
      <c r="L19" s="485"/>
      <c r="M19" s="486"/>
      <c r="N19" s="485"/>
      <c r="O19" s="486"/>
    </row>
    <row r="20" spans="2:15" ht="20.100000000000001" customHeight="1" thickBot="1">
      <c r="B20" s="474" t="s">
        <v>431</v>
      </c>
      <c r="C20" s="474"/>
      <c r="D20" s="474"/>
      <c r="E20" s="474"/>
      <c r="F20" s="474"/>
      <c r="G20" s="474"/>
      <c r="H20" s="474"/>
      <c r="I20" s="474"/>
      <c r="J20" s="474"/>
      <c r="K20" s="474"/>
      <c r="L20" s="474"/>
      <c r="M20" s="474"/>
      <c r="N20" s="474"/>
      <c r="O20" s="474"/>
    </row>
    <row r="21" spans="2:15" s="3" customFormat="1">
      <c r="B21" s="313" t="s">
        <v>430</v>
      </c>
      <c r="C21" s="313"/>
      <c r="D21" s="313"/>
      <c r="E21" s="313"/>
      <c r="F21" s="313"/>
      <c r="G21" s="313"/>
      <c r="H21" s="313"/>
      <c r="I21" s="313"/>
      <c r="J21" s="313"/>
      <c r="K21" s="313"/>
      <c r="L21" s="313"/>
      <c r="M21" s="313"/>
      <c r="N21" s="313"/>
      <c r="O21" s="88"/>
    </row>
    <row r="22" spans="2:15" s="3" customFormat="1" ht="9.75" customHeight="1">
      <c r="B22" s="62"/>
      <c r="C22" s="62"/>
      <c r="D22" s="62"/>
      <c r="E22" s="62"/>
      <c r="F22" s="62"/>
      <c r="G22" s="62"/>
      <c r="H22" s="62"/>
      <c r="I22" s="59"/>
      <c r="J22" s="64"/>
      <c r="K22" s="64"/>
    </row>
    <row r="23" spans="2:15" s="3" customFormat="1" ht="12.75" customHeight="1">
      <c r="B23" s="86" t="s">
        <v>429</v>
      </c>
      <c r="C23" s="62"/>
      <c r="D23" s="62"/>
      <c r="E23" s="62"/>
      <c r="F23" s="62"/>
      <c r="G23" s="62"/>
      <c r="H23" s="62"/>
      <c r="I23" s="59"/>
      <c r="J23" s="64"/>
      <c r="K23" s="64"/>
    </row>
    <row r="24" spans="2:15" s="3" customFormat="1" ht="12.75" customHeight="1">
      <c r="B24" s="54"/>
      <c r="C24" s="90"/>
      <c r="D24" s="84"/>
      <c r="E24" s="84"/>
      <c r="F24" s="84"/>
      <c r="G24" s="84"/>
      <c r="H24" s="84"/>
      <c r="I24" s="85"/>
      <c r="J24" s="64"/>
      <c r="K24" s="64"/>
    </row>
    <row r="25" spans="2:15" s="3" customFormat="1" ht="12.75" customHeight="1">
      <c r="B25" s="84"/>
      <c r="C25" s="84"/>
      <c r="D25" s="84"/>
      <c r="E25" s="84"/>
      <c r="F25" s="84"/>
      <c r="G25" s="84"/>
      <c r="H25" s="84"/>
      <c r="I25" s="85"/>
      <c r="J25" s="64"/>
      <c r="K25" s="64"/>
      <c r="L25" s="462" t="s">
        <v>36</v>
      </c>
      <c r="M25" s="462"/>
      <c r="N25" s="462"/>
      <c r="O25" s="105">
        <f>B19</f>
        <v>0</v>
      </c>
    </row>
    <row r="26" spans="2:15" s="3" customFormat="1">
      <c r="B26" s="62"/>
      <c r="C26" s="62"/>
      <c r="D26" s="62"/>
      <c r="E26" s="62"/>
      <c r="F26" s="62"/>
      <c r="G26" s="62"/>
      <c r="H26" s="62"/>
      <c r="I26" s="65"/>
      <c r="J26" s="65"/>
      <c r="K26" s="14"/>
      <c r="L26" s="462" t="s">
        <v>37</v>
      </c>
      <c r="M26" s="462"/>
      <c r="N26" s="462"/>
      <c r="O26" s="78" t="e">
        <f>AVERAGE(J7:K12)</f>
        <v>#DIV/0!</v>
      </c>
    </row>
    <row r="27" spans="2:15" s="3" customFormat="1" ht="12.75" customHeight="1">
      <c r="B27" s="54"/>
      <c r="C27" s="14"/>
      <c r="D27" s="14"/>
      <c r="E27" s="14"/>
      <c r="F27" s="14"/>
      <c r="G27" s="14"/>
      <c r="H27" s="14"/>
      <c r="I27" s="14"/>
      <c r="J27" s="14"/>
      <c r="K27" s="14"/>
      <c r="L27" s="462" t="s">
        <v>39</v>
      </c>
      <c r="M27" s="462"/>
      <c r="N27" s="462"/>
      <c r="O27" s="78" t="e">
        <f>STDEV(J7:K12)</f>
        <v>#DIV/0!</v>
      </c>
    </row>
    <row r="28" spans="2:15" s="3" customFormat="1" ht="12.75" customHeight="1">
      <c r="B28" s="62"/>
      <c r="C28" s="62"/>
      <c r="D28" s="62"/>
      <c r="E28" s="62"/>
      <c r="F28" s="62"/>
      <c r="G28" s="62"/>
      <c r="H28" s="62"/>
      <c r="I28" s="59"/>
      <c r="J28" s="54"/>
      <c r="K28" s="54"/>
      <c r="L28" s="462" t="s">
        <v>38</v>
      </c>
      <c r="M28" s="462"/>
      <c r="N28" s="462"/>
      <c r="O28" s="78" t="e">
        <f>GEOMEAN(O25:O27)</f>
        <v>#DIV/0!</v>
      </c>
    </row>
    <row r="29" spans="2:15" s="3" customFormat="1" ht="12.75" customHeight="1">
      <c r="B29" s="62"/>
      <c r="C29" s="62"/>
      <c r="D29" s="62"/>
      <c r="E29" s="62"/>
      <c r="F29" s="62"/>
      <c r="G29" s="62"/>
      <c r="H29" s="62"/>
      <c r="I29" s="59"/>
      <c r="J29" s="54"/>
      <c r="K29" s="54"/>
      <c r="L29" s="462" t="s">
        <v>244</v>
      </c>
      <c r="M29" s="462"/>
      <c r="N29" s="462"/>
      <c r="O29" s="78" t="e">
        <f>O27</f>
        <v>#DIV/0!</v>
      </c>
    </row>
    <row r="30" spans="2:15" s="3" customFormat="1" ht="12.75" customHeight="1">
      <c r="B30" s="62"/>
      <c r="C30" s="62"/>
      <c r="D30" s="62"/>
      <c r="E30" s="62"/>
      <c r="F30" s="62"/>
      <c r="G30" s="62"/>
      <c r="H30" s="62"/>
      <c r="I30" s="59"/>
      <c r="J30" s="54"/>
      <c r="K30" s="54"/>
      <c r="L30" s="462" t="s">
        <v>40</v>
      </c>
      <c r="M30" s="462"/>
      <c r="N30" s="462"/>
      <c r="O30" s="78"/>
    </row>
    <row r="31" spans="2:15" s="3" customFormat="1" ht="12.75" customHeight="1">
      <c r="B31" s="62"/>
      <c r="C31" s="62"/>
      <c r="D31" s="62"/>
      <c r="E31" s="62"/>
      <c r="F31" s="62"/>
      <c r="G31" s="62"/>
      <c r="H31" s="62"/>
      <c r="I31" s="59"/>
      <c r="J31" s="54"/>
      <c r="K31" s="54"/>
      <c r="O31" s="54"/>
    </row>
    <row r="32" spans="2:15" s="3" customFormat="1" ht="12.75" customHeight="1">
      <c r="B32" s="62"/>
      <c r="C32" s="62"/>
      <c r="D32" s="62"/>
      <c r="E32" s="62"/>
      <c r="F32" s="62"/>
      <c r="G32" s="62"/>
      <c r="H32" s="62"/>
      <c r="I32" s="59"/>
      <c r="J32" s="54"/>
      <c r="K32" s="54"/>
      <c r="O32" s="54"/>
    </row>
    <row r="33" spans="2:15" s="3" customFormat="1" ht="12.75" customHeight="1">
      <c r="B33" s="62"/>
      <c r="C33" s="62"/>
      <c r="D33" s="62"/>
      <c r="E33" s="62"/>
      <c r="F33" s="62"/>
      <c r="G33" s="62"/>
      <c r="H33" s="62"/>
      <c r="I33" s="59"/>
      <c r="J33" s="54"/>
      <c r="K33" s="54"/>
      <c r="O33" s="54"/>
    </row>
    <row r="34" spans="2:15" s="3" customFormat="1" ht="12.75" customHeight="1">
      <c r="B34" s="62"/>
      <c r="C34" s="62"/>
      <c r="D34" s="62"/>
      <c r="E34" s="62"/>
      <c r="F34" s="62"/>
      <c r="G34" s="62"/>
      <c r="H34" s="62"/>
      <c r="I34" s="59"/>
      <c r="J34" s="64"/>
      <c r="K34" s="64"/>
      <c r="O34" s="54"/>
    </row>
    <row r="35" spans="2:15" s="3" customFormat="1" ht="12.75" customHeight="1">
      <c r="B35" s="62"/>
      <c r="C35" s="62"/>
      <c r="D35" s="62"/>
      <c r="E35" s="62"/>
      <c r="F35" s="62"/>
      <c r="G35" s="62"/>
      <c r="H35" s="62"/>
      <c r="I35" s="59"/>
      <c r="J35" s="64"/>
      <c r="K35" s="64"/>
      <c r="L35" s="64"/>
      <c r="M35" s="55"/>
      <c r="N35" s="54"/>
      <c r="O35" s="54"/>
    </row>
    <row r="36" spans="2:15" s="3" customFormat="1" ht="12.75" customHeight="1">
      <c r="B36" s="62"/>
      <c r="C36" s="62"/>
      <c r="D36" s="62"/>
      <c r="E36" s="62"/>
      <c r="F36" s="62"/>
      <c r="G36" s="62"/>
      <c r="H36" s="62"/>
      <c r="I36" s="59"/>
      <c r="J36" s="64"/>
      <c r="K36" s="64"/>
      <c r="L36" s="64"/>
      <c r="M36" s="55"/>
      <c r="N36" s="54"/>
      <c r="O36" s="54"/>
    </row>
    <row r="37" spans="2:15" s="3" customFormat="1" ht="12.75" customHeight="1">
      <c r="B37" s="62"/>
      <c r="C37" s="62"/>
      <c r="D37" s="62"/>
      <c r="E37" s="62"/>
      <c r="F37" s="62"/>
      <c r="G37" s="62"/>
      <c r="H37" s="62"/>
      <c r="I37" s="59"/>
      <c r="J37" s="64"/>
      <c r="K37" s="64"/>
      <c r="L37" s="64"/>
      <c r="M37" s="55"/>
      <c r="N37" s="54"/>
      <c r="O37" s="54"/>
    </row>
    <row r="38" spans="2:15" s="3" customFormat="1" ht="12.75" customHeight="1" thickBot="1">
      <c r="B38" s="7"/>
      <c r="C38" s="7"/>
      <c r="D38" s="7"/>
      <c r="E38" s="7"/>
      <c r="F38" s="7"/>
      <c r="G38" s="7"/>
      <c r="H38" s="7"/>
      <c r="I38" s="91"/>
      <c r="J38" s="92"/>
      <c r="K38" s="92"/>
      <c r="L38" s="92"/>
      <c r="M38" s="93"/>
      <c r="N38" s="89"/>
      <c r="O38" s="89"/>
    </row>
    <row r="39" spans="2:15" s="3" customFormat="1">
      <c r="B39" s="11"/>
      <c r="C39" s="11"/>
      <c r="D39" s="12"/>
      <c r="E39" s="12"/>
      <c r="F39" s="12"/>
      <c r="G39" s="12"/>
      <c r="H39" s="12"/>
      <c r="I39" s="12"/>
      <c r="J39" s="13"/>
      <c r="K39" s="11"/>
      <c r="L39" s="11"/>
      <c r="M39" s="11"/>
      <c r="N39" s="11"/>
      <c r="O39" s="54"/>
    </row>
    <row r="40" spans="2:15" s="3" customFormat="1" ht="13.8" thickBot="1">
      <c r="B40" s="11"/>
      <c r="C40" s="11"/>
      <c r="D40" s="12"/>
      <c r="E40" s="12"/>
      <c r="F40" s="12"/>
      <c r="G40" s="12"/>
      <c r="H40" s="12"/>
      <c r="I40" s="12"/>
      <c r="J40" s="13"/>
      <c r="K40" s="11"/>
      <c r="L40" s="11"/>
      <c r="M40" s="11"/>
      <c r="N40" s="11"/>
      <c r="O40" s="54"/>
    </row>
    <row r="41" spans="2:15" s="3" customFormat="1" ht="12.75" customHeight="1">
      <c r="B41" s="392" t="s">
        <v>282</v>
      </c>
      <c r="C41" s="392"/>
      <c r="D41" s="392"/>
      <c r="E41" s="392"/>
      <c r="F41" s="392"/>
      <c r="G41" s="392"/>
      <c r="H41" s="392"/>
      <c r="I41" s="392"/>
      <c r="J41" s="392"/>
      <c r="K41" s="392"/>
      <c r="L41" s="392"/>
      <c r="M41" s="392"/>
      <c r="N41" s="392"/>
      <c r="O41" s="392"/>
    </row>
    <row r="42" spans="2:15" s="3" customFormat="1" ht="41.25" customHeight="1">
      <c r="B42" s="461" t="s">
        <v>280</v>
      </c>
      <c r="C42" s="461"/>
      <c r="D42" s="461"/>
      <c r="E42" s="461"/>
      <c r="F42" s="461"/>
      <c r="G42" s="461"/>
      <c r="H42" s="461"/>
      <c r="I42" s="461" t="s">
        <v>283</v>
      </c>
      <c r="J42" s="461"/>
      <c r="K42" s="461"/>
      <c r="L42" s="461" t="s">
        <v>251</v>
      </c>
      <c r="M42" s="461"/>
      <c r="N42" s="461"/>
      <c r="O42" s="461"/>
    </row>
    <row r="43" spans="2:15" s="3" customFormat="1">
      <c r="B43" s="380"/>
      <c r="C43" s="380"/>
      <c r="D43" s="380"/>
      <c r="E43" s="380"/>
      <c r="F43" s="380"/>
      <c r="G43" s="380"/>
      <c r="H43" s="380"/>
      <c r="I43" s="460"/>
      <c r="J43" s="460"/>
      <c r="K43" s="460"/>
      <c r="L43" s="380"/>
      <c r="M43" s="380"/>
      <c r="N43" s="380"/>
      <c r="O43" s="380"/>
    </row>
    <row r="44" spans="2:15" s="3" customFormat="1">
      <c r="B44" s="380"/>
      <c r="C44" s="380"/>
      <c r="D44" s="380"/>
      <c r="E44" s="380"/>
      <c r="F44" s="380"/>
      <c r="G44" s="380"/>
      <c r="H44" s="380"/>
      <c r="I44" s="460"/>
      <c r="J44" s="460"/>
      <c r="K44" s="460"/>
      <c r="L44" s="380"/>
      <c r="M44" s="380"/>
      <c r="N44" s="380"/>
      <c r="O44" s="380"/>
    </row>
    <row r="45" spans="2:15" s="3" customFormat="1">
      <c r="B45" s="380"/>
      <c r="C45" s="380"/>
      <c r="D45" s="380"/>
      <c r="E45" s="380"/>
      <c r="F45" s="380"/>
      <c r="G45" s="380"/>
      <c r="H45" s="380"/>
      <c r="I45" s="460"/>
      <c r="J45" s="460"/>
      <c r="K45" s="460"/>
      <c r="L45" s="380"/>
      <c r="M45" s="380"/>
      <c r="N45" s="380"/>
      <c r="O45" s="380"/>
    </row>
    <row r="46" spans="2:15" s="3" customFormat="1" ht="13.8" thickBot="1">
      <c r="B46" s="157"/>
      <c r="C46" s="157"/>
      <c r="D46" s="157"/>
      <c r="E46" s="157"/>
      <c r="F46" s="157"/>
      <c r="G46" s="157"/>
      <c r="H46" s="157"/>
      <c r="I46" s="139"/>
      <c r="J46" s="139"/>
      <c r="K46" s="139"/>
      <c r="L46" s="157"/>
      <c r="M46" s="157"/>
      <c r="N46" s="157"/>
      <c r="O46" s="157"/>
    </row>
    <row r="47" spans="2:15" ht="12.75" customHeight="1" thickBot="1">
      <c r="B47" s="313" t="s">
        <v>281</v>
      </c>
      <c r="C47" s="313"/>
      <c r="D47" s="313"/>
      <c r="E47" s="313"/>
      <c r="F47" s="313"/>
      <c r="G47" s="313"/>
      <c r="H47" s="313"/>
      <c r="I47" s="313"/>
      <c r="J47" s="313"/>
      <c r="K47" s="313"/>
      <c r="L47" s="313"/>
      <c r="M47" s="313"/>
      <c r="N47" s="313"/>
      <c r="O47" s="313"/>
    </row>
    <row r="48" spans="2:15" ht="53.25" customHeight="1" thickBot="1">
      <c r="B48" s="313"/>
      <c r="C48" s="313"/>
      <c r="D48" s="313"/>
      <c r="E48" s="313"/>
      <c r="F48" s="313"/>
      <c r="G48" s="313"/>
      <c r="H48" s="313"/>
      <c r="I48" s="313"/>
      <c r="J48" s="313"/>
      <c r="K48" s="313"/>
      <c r="L48" s="313"/>
      <c r="M48" s="313"/>
      <c r="N48" s="313"/>
      <c r="O48" s="313"/>
    </row>
    <row r="49" spans="2:15" ht="12.75" customHeight="1">
      <c r="B49" s="313" t="s">
        <v>13</v>
      </c>
      <c r="C49" s="313"/>
      <c r="D49" s="313"/>
      <c r="E49" s="313"/>
      <c r="F49" s="313"/>
      <c r="G49" s="313"/>
      <c r="H49" s="313"/>
      <c r="I49" s="313"/>
      <c r="J49" s="313"/>
      <c r="K49" s="313"/>
      <c r="L49" s="313"/>
      <c r="M49" s="313"/>
      <c r="N49" s="313"/>
      <c r="O49" s="313"/>
    </row>
    <row r="50" spans="2:15" ht="66" customHeight="1" thickBot="1">
      <c r="B50" s="424"/>
      <c r="C50" s="424"/>
      <c r="D50" s="424"/>
      <c r="E50" s="424"/>
      <c r="F50" s="424"/>
      <c r="G50" s="424"/>
      <c r="H50" s="424"/>
      <c r="I50" s="424"/>
      <c r="J50" s="424"/>
      <c r="K50" s="424"/>
      <c r="L50" s="424"/>
      <c r="M50" s="424"/>
      <c r="N50" s="424"/>
      <c r="O50" s="424"/>
    </row>
    <row r="51" spans="2:15" ht="12.75" customHeight="1">
      <c r="B51" s="313" t="s">
        <v>301</v>
      </c>
      <c r="C51" s="313"/>
      <c r="D51" s="313"/>
      <c r="E51" s="313"/>
      <c r="F51" s="313"/>
      <c r="G51" s="313"/>
      <c r="H51" s="313"/>
      <c r="I51" s="313"/>
      <c r="J51" s="313"/>
      <c r="K51" s="313"/>
      <c r="L51" s="313"/>
      <c r="M51" s="313"/>
      <c r="N51" s="313"/>
      <c r="O51" s="313"/>
    </row>
    <row r="52" spans="2:15" ht="57" customHeight="1" thickBot="1">
      <c r="B52" s="311"/>
      <c r="C52" s="311"/>
      <c r="D52" s="311"/>
      <c r="E52" s="311"/>
      <c r="F52" s="311"/>
      <c r="G52" s="311"/>
      <c r="H52" s="311"/>
      <c r="I52" s="311"/>
      <c r="J52" s="311"/>
      <c r="K52" s="311"/>
      <c r="L52" s="311"/>
      <c r="M52" s="311"/>
      <c r="N52" s="311"/>
      <c r="O52" s="311"/>
    </row>
    <row r="53" spans="2:15" ht="12.75" customHeight="1">
      <c r="B53" s="313" t="s">
        <v>302</v>
      </c>
      <c r="C53" s="313"/>
      <c r="D53" s="313"/>
      <c r="E53" s="313"/>
      <c r="F53" s="313"/>
      <c r="G53" s="313"/>
      <c r="H53" s="313"/>
      <c r="I53" s="313"/>
      <c r="J53" s="313"/>
      <c r="K53" s="313"/>
      <c r="L53" s="313"/>
      <c r="M53" s="313"/>
      <c r="N53" s="313"/>
      <c r="O53" s="313"/>
    </row>
    <row r="54" spans="2:15" ht="66.75" customHeight="1" thickBot="1">
      <c r="B54" s="310"/>
      <c r="C54" s="310"/>
      <c r="D54" s="310"/>
      <c r="E54" s="310"/>
      <c r="F54" s="310"/>
      <c r="G54" s="310"/>
      <c r="H54" s="310"/>
      <c r="I54" s="310"/>
      <c r="J54" s="310"/>
      <c r="K54" s="310"/>
      <c r="L54" s="310"/>
      <c r="M54" s="310"/>
      <c r="N54" s="310"/>
      <c r="O54" s="310"/>
    </row>
    <row r="55" spans="2:15" ht="12.75" customHeight="1">
      <c r="B55" s="313" t="s">
        <v>14</v>
      </c>
      <c r="C55" s="313"/>
      <c r="D55" s="313"/>
      <c r="E55" s="313"/>
      <c r="F55" s="313"/>
      <c r="G55" s="313"/>
      <c r="H55" s="313"/>
      <c r="I55" s="313"/>
      <c r="J55" s="313"/>
      <c r="K55" s="313"/>
      <c r="L55" s="313"/>
      <c r="M55" s="313"/>
      <c r="N55" s="313"/>
      <c r="O55" s="313"/>
    </row>
    <row r="56" spans="2:15" ht="12.75" customHeight="1">
      <c r="B56" s="445" t="s">
        <v>15</v>
      </c>
      <c r="C56" s="445"/>
      <c r="D56" s="445"/>
      <c r="E56" s="445"/>
      <c r="F56" s="445"/>
      <c r="G56" s="445" t="s">
        <v>16</v>
      </c>
      <c r="H56" s="445"/>
      <c r="I56" s="445"/>
      <c r="J56" s="445"/>
      <c r="K56" s="402" t="s">
        <v>17</v>
      </c>
      <c r="L56" s="403"/>
      <c r="M56" s="403"/>
      <c r="N56" s="403"/>
      <c r="O56" s="404"/>
    </row>
    <row r="57" spans="2:15" ht="66.75" customHeight="1">
      <c r="B57" s="383"/>
      <c r="C57" s="383"/>
      <c r="D57" s="383"/>
      <c r="E57" s="383"/>
      <c r="F57" s="383"/>
      <c r="G57" s="383"/>
      <c r="H57" s="383"/>
      <c r="I57" s="383"/>
      <c r="J57" s="383"/>
      <c r="K57" s="478"/>
      <c r="L57" s="479"/>
      <c r="M57" s="479"/>
      <c r="N57" s="479"/>
      <c r="O57" s="432"/>
    </row>
    <row r="59" spans="2:15">
      <c r="C59" s="116"/>
    </row>
    <row r="60" spans="2:15">
      <c r="C60" s="116"/>
    </row>
  </sheetData>
  <mergeCells count="81">
    <mergeCell ref="B49:O49"/>
    <mergeCell ref="B50:O50"/>
    <mergeCell ref="B51:O51"/>
    <mergeCell ref="B52:O52"/>
    <mergeCell ref="B57:F57"/>
    <mergeCell ref="G57:J57"/>
    <mergeCell ref="K57:O57"/>
    <mergeCell ref="B53:O53"/>
    <mergeCell ref="B54:O54"/>
    <mergeCell ref="B55:O55"/>
    <mergeCell ref="B56:F56"/>
    <mergeCell ref="G56:J56"/>
    <mergeCell ref="K56:O56"/>
    <mergeCell ref="B45:H45"/>
    <mergeCell ref="I45:K45"/>
    <mergeCell ref="L45:O45"/>
    <mergeCell ref="B47:O47"/>
    <mergeCell ref="B48:O48"/>
    <mergeCell ref="B43:H43"/>
    <mergeCell ref="I43:K43"/>
    <mergeCell ref="L43:O43"/>
    <mergeCell ref="B44:H44"/>
    <mergeCell ref="I44:K44"/>
    <mergeCell ref="L44:O44"/>
    <mergeCell ref="L29:N29"/>
    <mergeCell ref="L30:N30"/>
    <mergeCell ref="B41:O41"/>
    <mergeCell ref="B42:H42"/>
    <mergeCell ref="I42:K42"/>
    <mergeCell ref="L42:O42"/>
    <mergeCell ref="B21:N21"/>
    <mergeCell ref="L25:N25"/>
    <mergeCell ref="L26:N26"/>
    <mergeCell ref="L27:N27"/>
    <mergeCell ref="L28:N28"/>
    <mergeCell ref="C19:G19"/>
    <mergeCell ref="H19:K19"/>
    <mergeCell ref="L19:M19"/>
    <mergeCell ref="N19:O19"/>
    <mergeCell ref="B20:O20"/>
    <mergeCell ref="B14:N14"/>
    <mergeCell ref="B15:O15"/>
    <mergeCell ref="B16:O17"/>
    <mergeCell ref="C18:G18"/>
    <mergeCell ref="H18:K18"/>
    <mergeCell ref="L18:M18"/>
    <mergeCell ref="N18:O18"/>
    <mergeCell ref="J11:K11"/>
    <mergeCell ref="L11:M11"/>
    <mergeCell ref="N11:O11"/>
    <mergeCell ref="J12:K12"/>
    <mergeCell ref="L12:M12"/>
    <mergeCell ref="N12:O12"/>
    <mergeCell ref="J9:K9"/>
    <mergeCell ref="L9:M9"/>
    <mergeCell ref="N9:O9"/>
    <mergeCell ref="J10:K10"/>
    <mergeCell ref="L10:M10"/>
    <mergeCell ref="N10:O10"/>
    <mergeCell ref="N5:O6"/>
    <mergeCell ref="J7:K7"/>
    <mergeCell ref="L7:M7"/>
    <mergeCell ref="N7:O7"/>
    <mergeCell ref="J8:K8"/>
    <mergeCell ref="L8:M8"/>
    <mergeCell ref="N8:O8"/>
    <mergeCell ref="G5:G6"/>
    <mergeCell ref="H5:H6"/>
    <mergeCell ref="I5:I6"/>
    <mergeCell ref="J5:K6"/>
    <mergeCell ref="L5:M6"/>
    <mergeCell ref="B5:B6"/>
    <mergeCell ref="C5:C6"/>
    <mergeCell ref="D5:D6"/>
    <mergeCell ref="E5:E6"/>
    <mergeCell ref="F5:F6"/>
    <mergeCell ref="B2:C3"/>
    <mergeCell ref="D2:K3"/>
    <mergeCell ref="L2:N3"/>
    <mergeCell ref="O2:O3"/>
    <mergeCell ref="B4:C4"/>
  </mergeCells>
  <dataValidations count="1">
    <dataValidation type="list" allowBlank="1" showInputMessage="1" showErrorMessage="1" sqref="I7:I12" xr:uid="{00000000-0002-0000-0A00-000000000000}">
      <formula1>"Respiráveis,Inaláveis"</formula1>
    </dataValidation>
  </dataValidations>
  <printOptions horizontalCentered="1"/>
  <pageMargins left="0.39370078740157483" right="0.39370078740157483" top="0.51181102362204722" bottom="0.51181102362204722" header="0.31496062992125984" footer="0.31496062992125984"/>
  <pageSetup paperSize="9" orientation="portrait" r:id="rId1"/>
  <headerFooter>
    <oddFooter>&amp;RRevisão: 00          
11.06.2012</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tint="-0.14999847407452621"/>
  </sheetPr>
  <dimension ref="A1:M65"/>
  <sheetViews>
    <sheetView showGridLines="0" zoomScaleNormal="100" workbookViewId="0">
      <selection activeCell="M2" sqref="M2:M3"/>
    </sheetView>
  </sheetViews>
  <sheetFormatPr defaultRowHeight="13.2"/>
  <cols>
    <col min="1" max="1" width="0.6640625" customWidth="1"/>
    <col min="2" max="2" width="4.6640625" customWidth="1"/>
    <col min="3" max="3" width="9.6640625" customWidth="1"/>
    <col min="4" max="4" width="10.5546875" customWidth="1"/>
    <col min="5" max="7" width="11.6640625" customWidth="1"/>
    <col min="8" max="11" width="10.5546875" customWidth="1"/>
    <col min="12" max="12" width="13.44140625" customWidth="1"/>
    <col min="13" max="13" width="11.6640625" customWidth="1"/>
  </cols>
  <sheetData>
    <row r="1" spans="1:13" ht="4.5" customHeight="1"/>
    <row r="2" spans="1:13" ht="57" customHeight="1">
      <c r="B2" s="555" t="s">
        <v>256</v>
      </c>
      <c r="C2" s="482"/>
      <c r="D2" s="451" t="s">
        <v>274</v>
      </c>
      <c r="E2" s="451"/>
      <c r="F2" s="451"/>
      <c r="G2" s="451"/>
      <c r="H2" s="451"/>
      <c r="I2" s="451"/>
      <c r="J2" s="451"/>
      <c r="K2" s="280" t="s">
        <v>436</v>
      </c>
      <c r="L2" s="281"/>
      <c r="M2" s="441" t="s">
        <v>270</v>
      </c>
    </row>
    <row r="3" spans="1:13" s="67" customFormat="1" ht="15" customHeight="1" thickBot="1">
      <c r="A3" s="68"/>
      <c r="B3" s="556"/>
      <c r="C3" s="556"/>
      <c r="D3" s="557"/>
      <c r="E3" s="557"/>
      <c r="F3" s="557"/>
      <c r="G3" s="557"/>
      <c r="H3" s="557"/>
      <c r="I3" s="557"/>
      <c r="J3" s="557"/>
      <c r="K3" s="558"/>
      <c r="L3" s="559"/>
      <c r="M3" s="389"/>
    </row>
    <row r="4" spans="1:13" ht="13.8" thickBot="1">
      <c r="B4" s="162" t="s">
        <v>6</v>
      </c>
      <c r="C4" s="163"/>
      <c r="D4" s="164" t="s">
        <v>343</v>
      </c>
      <c r="E4" s="164"/>
      <c r="F4" s="164"/>
      <c r="G4" s="164"/>
      <c r="H4" s="164"/>
      <c r="I4" s="164"/>
      <c r="J4" s="164"/>
      <c r="K4" s="169"/>
      <c r="L4" s="532" t="s">
        <v>291</v>
      </c>
      <c r="M4" s="533"/>
    </row>
    <row r="5" spans="1:13" ht="12.75" customHeight="1">
      <c r="B5" s="549" t="s">
        <v>8</v>
      </c>
      <c r="C5" s="551" t="s">
        <v>9</v>
      </c>
      <c r="D5" s="340" t="s">
        <v>345</v>
      </c>
      <c r="E5" s="551" t="s">
        <v>344</v>
      </c>
      <c r="F5" s="340" t="s">
        <v>350</v>
      </c>
      <c r="G5" s="340" t="s">
        <v>349</v>
      </c>
      <c r="H5" s="340" t="s">
        <v>355</v>
      </c>
      <c r="I5" s="529" t="s">
        <v>28</v>
      </c>
      <c r="J5" s="530"/>
      <c r="K5" s="531"/>
      <c r="L5" s="551" t="s">
        <v>348</v>
      </c>
      <c r="M5" s="390" t="s">
        <v>29</v>
      </c>
    </row>
    <row r="6" spans="1:13" ht="39.75" customHeight="1">
      <c r="B6" s="550"/>
      <c r="C6" s="552"/>
      <c r="D6" s="341"/>
      <c r="E6" s="552"/>
      <c r="F6" s="341"/>
      <c r="G6" s="341"/>
      <c r="H6" s="341"/>
      <c r="I6" s="553" t="s">
        <v>254</v>
      </c>
      <c r="J6" s="554"/>
      <c r="K6" s="165" t="s">
        <v>266</v>
      </c>
      <c r="L6" s="552"/>
      <c r="M6" s="441"/>
    </row>
    <row r="7" spans="1:13">
      <c r="B7" s="146">
        <v>1</v>
      </c>
      <c r="C7" s="146"/>
      <c r="D7" s="146"/>
      <c r="E7" s="146"/>
      <c r="F7" s="146"/>
      <c r="G7" s="146"/>
      <c r="H7" s="166"/>
      <c r="I7" s="171"/>
      <c r="J7" s="168"/>
      <c r="K7" s="146"/>
      <c r="L7" s="147"/>
      <c r="M7" s="146"/>
    </row>
    <row r="8" spans="1:13">
      <c r="B8" s="146">
        <v>2</v>
      </c>
      <c r="C8" s="146"/>
      <c r="D8" s="146"/>
      <c r="E8" s="146"/>
      <c r="F8" s="146"/>
      <c r="G8" s="146"/>
      <c r="H8" s="166"/>
      <c r="I8" s="171"/>
      <c r="J8" s="168"/>
      <c r="K8" s="146"/>
      <c r="L8" s="147"/>
      <c r="M8" s="146"/>
    </row>
    <row r="9" spans="1:13">
      <c r="B9" s="146">
        <v>3</v>
      </c>
      <c r="C9" s="146"/>
      <c r="D9" s="146"/>
      <c r="E9" s="146"/>
      <c r="F9" s="146"/>
      <c r="G9" s="146"/>
      <c r="H9" s="166"/>
      <c r="I9" s="171"/>
      <c r="J9" s="168"/>
      <c r="K9" s="146"/>
      <c r="L9" s="147"/>
      <c r="M9" s="146"/>
    </row>
    <row r="10" spans="1:13">
      <c r="B10" s="146">
        <v>4</v>
      </c>
      <c r="C10" s="146"/>
      <c r="D10" s="146"/>
      <c r="E10" s="146"/>
      <c r="F10" s="146"/>
      <c r="G10" s="146"/>
      <c r="H10" s="166"/>
      <c r="I10" s="171"/>
      <c r="J10" s="168"/>
      <c r="K10" s="146"/>
      <c r="L10" s="147"/>
      <c r="M10" s="146"/>
    </row>
    <row r="11" spans="1:13">
      <c r="B11" s="146">
        <v>5</v>
      </c>
      <c r="C11" s="146"/>
      <c r="D11" s="146"/>
      <c r="E11" s="146"/>
      <c r="F11" s="146"/>
      <c r="G11" s="146"/>
      <c r="H11" s="166"/>
      <c r="I11" s="171"/>
      <c r="J11" s="168"/>
      <c r="K11" s="146"/>
      <c r="L11" s="147"/>
      <c r="M11" s="146"/>
    </row>
    <row r="12" spans="1:13">
      <c r="B12" s="146">
        <v>6</v>
      </c>
      <c r="C12" s="146"/>
      <c r="D12" s="146"/>
      <c r="E12" s="146"/>
      <c r="F12" s="146"/>
      <c r="G12" s="146"/>
      <c r="H12" s="166"/>
      <c r="I12" s="171"/>
      <c r="J12" s="168"/>
      <c r="K12" s="146"/>
      <c r="L12" s="147"/>
      <c r="M12" s="146"/>
    </row>
    <row r="13" spans="1:13">
      <c r="B13" s="146">
        <v>7</v>
      </c>
      <c r="C13" s="146"/>
      <c r="D13" s="146"/>
      <c r="E13" s="146"/>
      <c r="F13" s="146"/>
      <c r="G13" s="146"/>
      <c r="H13" s="166"/>
      <c r="I13" s="171"/>
      <c r="J13" s="168"/>
      <c r="K13" s="146"/>
      <c r="L13" s="147"/>
      <c r="M13" s="146"/>
    </row>
    <row r="14" spans="1:13">
      <c r="B14" s="146">
        <v>8</v>
      </c>
      <c r="C14" s="146"/>
      <c r="D14" s="146"/>
      <c r="E14" s="146"/>
      <c r="F14" s="146"/>
      <c r="G14" s="146"/>
      <c r="H14" s="166"/>
      <c r="I14" s="171"/>
      <c r="J14" s="168"/>
      <c r="K14" s="146"/>
      <c r="L14" s="147"/>
      <c r="M14" s="146"/>
    </row>
    <row r="15" spans="1:13">
      <c r="B15" s="146">
        <v>9</v>
      </c>
      <c r="C15" s="146"/>
      <c r="D15" s="146"/>
      <c r="E15" s="146"/>
      <c r="F15" s="146"/>
      <c r="G15" s="146"/>
      <c r="H15" s="166"/>
      <c r="I15" s="171"/>
      <c r="J15" s="168"/>
      <c r="K15" s="146"/>
      <c r="L15" s="147"/>
      <c r="M15" s="146"/>
    </row>
    <row r="16" spans="1:13">
      <c r="B16" s="146">
        <v>10</v>
      </c>
      <c r="C16" s="146"/>
      <c r="D16" s="146"/>
      <c r="E16" s="146"/>
      <c r="F16" s="146"/>
      <c r="G16" s="146"/>
      <c r="H16" s="166"/>
      <c r="I16" s="171"/>
      <c r="J16" s="168"/>
      <c r="K16" s="146"/>
      <c r="L16" s="147"/>
      <c r="M16" s="146"/>
    </row>
    <row r="17" spans="2:13" ht="13.8" thickBot="1">
      <c r="B17" s="1"/>
      <c r="C17" s="1"/>
      <c r="D17" s="1"/>
      <c r="E17" s="1"/>
      <c r="F17" s="1"/>
      <c r="G17" s="1"/>
      <c r="H17" s="1"/>
      <c r="I17" s="58"/>
      <c r="J17" s="58"/>
      <c r="K17" s="1"/>
      <c r="L17" s="1"/>
      <c r="M17" s="1"/>
    </row>
    <row r="18" spans="2:13">
      <c r="B18" s="435" t="s">
        <v>11</v>
      </c>
      <c r="C18" s="435"/>
      <c r="D18" s="435"/>
      <c r="E18" s="435"/>
      <c r="F18" s="435"/>
      <c r="G18" s="435"/>
      <c r="H18" s="435"/>
      <c r="I18" s="435"/>
      <c r="J18" s="435"/>
      <c r="K18" s="435"/>
      <c r="L18" s="435"/>
      <c r="M18" s="435"/>
    </row>
    <row r="19" spans="2:13" ht="54.9" customHeight="1" thickBot="1">
      <c r="B19" s="548"/>
      <c r="C19" s="548"/>
      <c r="D19" s="548"/>
      <c r="E19" s="548"/>
      <c r="F19" s="548"/>
      <c r="G19" s="548"/>
      <c r="H19" s="548"/>
      <c r="I19" s="548"/>
      <c r="J19" s="548"/>
      <c r="K19" s="548"/>
      <c r="L19" s="548"/>
      <c r="M19" s="548"/>
    </row>
    <row r="20" spans="2:13" ht="13.8" thickBot="1">
      <c r="B20" s="501" t="s">
        <v>346</v>
      </c>
      <c r="C20" s="501"/>
      <c r="D20" s="501"/>
      <c r="E20" s="501"/>
      <c r="F20" s="501"/>
      <c r="G20" s="501"/>
      <c r="H20" s="501"/>
      <c r="I20" s="501"/>
      <c r="J20" s="501"/>
      <c r="K20" s="501"/>
      <c r="L20" s="501"/>
      <c r="M20" s="501"/>
    </row>
    <row r="21" spans="2:13" ht="13.8" thickBot="1">
      <c r="B21" s="543" t="s">
        <v>30</v>
      </c>
      <c r="C21" s="543"/>
      <c r="D21" s="543"/>
      <c r="E21" s="543"/>
      <c r="F21" s="543"/>
      <c r="G21" s="543"/>
      <c r="H21" s="543"/>
      <c r="I21" s="543"/>
      <c r="J21" s="543"/>
      <c r="K21" s="543"/>
      <c r="L21" s="543"/>
      <c r="M21" s="543"/>
    </row>
    <row r="22" spans="2:13">
      <c r="B22" s="544" t="s">
        <v>250</v>
      </c>
      <c r="C22" s="529" t="s">
        <v>28</v>
      </c>
      <c r="D22" s="530"/>
      <c r="E22" s="530"/>
      <c r="F22" s="530"/>
      <c r="G22" s="530"/>
      <c r="H22" s="531"/>
      <c r="I22" s="545" t="s">
        <v>267</v>
      </c>
      <c r="J22" s="538" t="s">
        <v>259</v>
      </c>
      <c r="K22" s="538" t="s">
        <v>12</v>
      </c>
      <c r="L22" s="536" t="s">
        <v>351</v>
      </c>
      <c r="M22" s="537"/>
    </row>
    <row r="23" spans="2:13">
      <c r="B23" s="288"/>
      <c r="C23" s="520" t="s">
        <v>254</v>
      </c>
      <c r="D23" s="521"/>
      <c r="E23" s="521"/>
      <c r="F23" s="522"/>
      <c r="G23" s="520" t="s">
        <v>255</v>
      </c>
      <c r="H23" s="522"/>
      <c r="I23" s="389"/>
      <c r="J23" s="539"/>
      <c r="K23" s="539"/>
      <c r="L23" s="98" t="s">
        <v>27</v>
      </c>
      <c r="M23" s="99" t="s">
        <v>24</v>
      </c>
    </row>
    <row r="24" spans="2:13">
      <c r="B24" s="146"/>
      <c r="C24" s="519"/>
      <c r="D24" s="519"/>
      <c r="E24" s="519"/>
      <c r="F24" s="519"/>
      <c r="G24" s="519"/>
      <c r="H24" s="519"/>
      <c r="I24" s="146"/>
      <c r="J24" s="170"/>
      <c r="K24" s="146"/>
      <c r="L24" s="166"/>
      <c r="M24" s="166"/>
    </row>
    <row r="25" spans="2:13">
      <c r="B25" s="146"/>
      <c r="C25" s="526"/>
      <c r="D25" s="527"/>
      <c r="E25" s="527"/>
      <c r="F25" s="528"/>
      <c r="G25" s="519"/>
      <c r="H25" s="519"/>
      <c r="I25" s="146"/>
      <c r="J25" s="170"/>
      <c r="K25" s="146"/>
      <c r="L25" s="166"/>
      <c r="M25" s="166"/>
    </row>
    <row r="26" spans="2:13">
      <c r="B26" s="146"/>
      <c r="C26" s="526"/>
      <c r="D26" s="527"/>
      <c r="E26" s="527"/>
      <c r="F26" s="528"/>
      <c r="G26" s="519"/>
      <c r="H26" s="519"/>
      <c r="I26" s="146"/>
      <c r="J26" s="170"/>
      <c r="K26" s="146"/>
      <c r="L26" s="166"/>
      <c r="M26" s="166"/>
    </row>
    <row r="27" spans="2:13">
      <c r="B27" s="146"/>
      <c r="C27" s="526"/>
      <c r="D27" s="527"/>
      <c r="E27" s="527"/>
      <c r="F27" s="528"/>
      <c r="G27" s="519"/>
      <c r="H27" s="519"/>
      <c r="I27" s="146"/>
      <c r="J27" s="170"/>
      <c r="K27" s="146"/>
      <c r="L27" s="166"/>
      <c r="M27" s="166"/>
    </row>
    <row r="28" spans="2:13">
      <c r="B28" s="146"/>
      <c r="C28" s="167"/>
      <c r="D28" s="171"/>
      <c r="E28" s="171"/>
      <c r="F28" s="168"/>
      <c r="G28" s="519"/>
      <c r="H28" s="519"/>
      <c r="I28" s="146"/>
      <c r="J28" s="170"/>
      <c r="K28" s="146"/>
      <c r="L28" s="166"/>
      <c r="M28" s="166"/>
    </row>
    <row r="29" spans="2:13" ht="13.8" thickBot="1">
      <c r="B29" s="172"/>
      <c r="C29" s="173"/>
      <c r="D29" s="173"/>
      <c r="E29" s="173"/>
      <c r="F29" s="173"/>
      <c r="G29" s="172"/>
      <c r="H29" s="172"/>
      <c r="I29" s="172"/>
      <c r="J29" s="174"/>
      <c r="K29" s="172"/>
      <c r="L29" s="173"/>
      <c r="M29" s="173"/>
    </row>
    <row r="30" spans="2:13" ht="14.25" customHeight="1" thickBot="1">
      <c r="B30" s="501" t="s">
        <v>346</v>
      </c>
      <c r="C30" s="501"/>
      <c r="D30" s="501"/>
      <c r="E30" s="501"/>
      <c r="F30" s="501"/>
      <c r="G30" s="501"/>
      <c r="H30" s="501"/>
      <c r="I30" s="501"/>
      <c r="J30" s="501"/>
      <c r="K30" s="501"/>
      <c r="L30" s="501"/>
      <c r="M30" s="501"/>
    </row>
    <row r="31" spans="2:13" ht="13.8" thickBot="1">
      <c r="B31" s="543" t="s">
        <v>31</v>
      </c>
      <c r="C31" s="543"/>
      <c r="D31" s="543"/>
      <c r="E31" s="543"/>
      <c r="F31" s="543"/>
      <c r="G31" s="543"/>
      <c r="H31" s="543"/>
      <c r="I31" s="543"/>
      <c r="J31" s="543"/>
      <c r="K31" s="543"/>
      <c r="L31" s="543"/>
      <c r="M31" s="543"/>
    </row>
    <row r="32" spans="2:13" ht="12.75" customHeight="1">
      <c r="B32" s="544" t="s">
        <v>250</v>
      </c>
      <c r="C32" s="529" t="s">
        <v>28</v>
      </c>
      <c r="D32" s="530"/>
      <c r="E32" s="530"/>
      <c r="F32" s="530"/>
      <c r="G32" s="530"/>
      <c r="H32" s="531"/>
      <c r="I32" s="545" t="s">
        <v>267</v>
      </c>
      <c r="J32" s="538" t="s">
        <v>259</v>
      </c>
      <c r="K32" s="538" t="s">
        <v>12</v>
      </c>
      <c r="L32" s="536" t="s">
        <v>351</v>
      </c>
      <c r="M32" s="537"/>
    </row>
    <row r="33" spans="2:13">
      <c r="B33" s="288"/>
      <c r="C33" s="520" t="s">
        <v>254</v>
      </c>
      <c r="D33" s="521"/>
      <c r="E33" s="521"/>
      <c r="F33" s="522"/>
      <c r="G33" s="520" t="s">
        <v>255</v>
      </c>
      <c r="H33" s="522"/>
      <c r="I33" s="389"/>
      <c r="J33" s="539"/>
      <c r="K33" s="539"/>
      <c r="L33" s="98" t="s">
        <v>27</v>
      </c>
      <c r="M33" s="99" t="s">
        <v>24</v>
      </c>
    </row>
    <row r="34" spans="2:13">
      <c r="B34" s="146"/>
      <c r="C34" s="519"/>
      <c r="D34" s="519"/>
      <c r="E34" s="519"/>
      <c r="F34" s="519"/>
      <c r="G34" s="519"/>
      <c r="H34" s="519"/>
      <c r="I34" s="146"/>
      <c r="J34" s="170"/>
      <c r="K34" s="146"/>
      <c r="L34" s="166"/>
      <c r="M34" s="166"/>
    </row>
    <row r="35" spans="2:13">
      <c r="B35" s="146"/>
      <c r="C35" s="526"/>
      <c r="D35" s="527"/>
      <c r="E35" s="527"/>
      <c r="F35" s="528"/>
      <c r="G35" s="519"/>
      <c r="H35" s="519"/>
      <c r="I35" s="146"/>
      <c r="J35" s="170"/>
      <c r="K35" s="146"/>
      <c r="L35" s="166"/>
      <c r="M35" s="166"/>
    </row>
    <row r="36" spans="2:13">
      <c r="B36" s="146"/>
      <c r="C36" s="526"/>
      <c r="D36" s="527"/>
      <c r="E36" s="527"/>
      <c r="F36" s="528"/>
      <c r="G36" s="519"/>
      <c r="H36" s="519"/>
      <c r="I36" s="146"/>
      <c r="J36" s="170"/>
      <c r="K36" s="146"/>
      <c r="L36" s="166"/>
      <c r="M36" s="166"/>
    </row>
    <row r="37" spans="2:13">
      <c r="B37" s="146"/>
      <c r="C37" s="526"/>
      <c r="D37" s="527"/>
      <c r="E37" s="527"/>
      <c r="F37" s="528"/>
      <c r="G37" s="519"/>
      <c r="H37" s="519"/>
      <c r="I37" s="146"/>
      <c r="J37" s="170"/>
      <c r="K37" s="146"/>
      <c r="L37" s="166"/>
      <c r="M37" s="166"/>
    </row>
    <row r="38" spans="2:13" ht="13.8" thickBot="1">
      <c r="B38" s="146"/>
      <c r="C38" s="167"/>
      <c r="D38" s="171"/>
      <c r="E38" s="171"/>
      <c r="F38" s="168"/>
      <c r="G38" s="519"/>
      <c r="H38" s="519"/>
      <c r="I38" s="146"/>
      <c r="J38" s="170"/>
      <c r="K38" s="146"/>
      <c r="L38" s="166"/>
      <c r="M38" s="166"/>
    </row>
    <row r="39" spans="2:13" ht="20.100000000000001" customHeight="1" thickBot="1">
      <c r="B39" s="540" t="s">
        <v>352</v>
      </c>
      <c r="C39" s="540"/>
      <c r="D39" s="540"/>
      <c r="E39" s="540"/>
      <c r="F39" s="540"/>
      <c r="G39" s="540"/>
      <c r="H39" s="540"/>
      <c r="I39" s="541"/>
      <c r="J39" s="541"/>
      <c r="K39" s="541"/>
      <c r="L39" s="541"/>
      <c r="M39" s="541"/>
    </row>
    <row r="40" spans="2:13" ht="13.8" thickBot="1">
      <c r="B40" s="1"/>
      <c r="C40" s="1"/>
      <c r="D40" s="1"/>
      <c r="E40" s="1"/>
      <c r="F40" s="1"/>
      <c r="G40" s="1"/>
      <c r="H40" s="1"/>
      <c r="I40" s="58"/>
      <c r="J40" s="58"/>
      <c r="K40" s="1"/>
      <c r="L40" s="1"/>
      <c r="M40" s="1"/>
    </row>
    <row r="41" spans="2:13" ht="13.8" thickBot="1">
      <c r="B41" s="542" t="s">
        <v>354</v>
      </c>
      <c r="C41" s="542"/>
      <c r="D41" s="542"/>
      <c r="E41" s="542"/>
      <c r="F41" s="542"/>
      <c r="G41" s="543"/>
      <c r="H41" s="543"/>
      <c r="I41" s="543"/>
      <c r="J41" s="543"/>
      <c r="K41" s="543"/>
      <c r="L41" s="543"/>
      <c r="M41" s="543"/>
    </row>
    <row r="42" spans="2:13" ht="21" thickBot="1">
      <c r="B42" s="502" t="s">
        <v>28</v>
      </c>
      <c r="C42" s="504"/>
      <c r="D42" s="504"/>
      <c r="E42" s="504"/>
      <c r="F42" s="503"/>
      <c r="G42" s="502" t="s">
        <v>33</v>
      </c>
      <c r="H42" s="503"/>
      <c r="I42" s="179" t="s">
        <v>347</v>
      </c>
      <c r="J42" s="180" t="s">
        <v>257</v>
      </c>
      <c r="K42" s="181" t="s">
        <v>32</v>
      </c>
      <c r="L42" s="534" t="s">
        <v>258</v>
      </c>
      <c r="M42" s="535"/>
    </row>
    <row r="43" spans="2:13">
      <c r="B43" s="523"/>
      <c r="C43" s="525"/>
      <c r="D43" s="525"/>
      <c r="E43" s="525"/>
      <c r="F43" s="524"/>
      <c r="G43" s="523"/>
      <c r="H43" s="524"/>
      <c r="I43" s="177"/>
      <c r="J43" s="177"/>
      <c r="K43" s="178"/>
      <c r="L43" s="546">
        <f>SUM(K43:K47)</f>
        <v>0</v>
      </c>
      <c r="M43" s="546"/>
    </row>
    <row r="44" spans="2:13">
      <c r="B44" s="516"/>
      <c r="C44" s="517"/>
      <c r="D44" s="517"/>
      <c r="E44" s="517"/>
      <c r="F44" s="518"/>
      <c r="G44" s="523"/>
      <c r="H44" s="524"/>
      <c r="I44" s="175"/>
      <c r="J44" s="175"/>
      <c r="K44" s="176"/>
      <c r="L44" s="546"/>
      <c r="M44" s="546"/>
    </row>
    <row r="45" spans="2:13">
      <c r="B45" s="516"/>
      <c r="C45" s="517"/>
      <c r="D45" s="517"/>
      <c r="E45" s="517"/>
      <c r="F45" s="518"/>
      <c r="G45" s="523"/>
      <c r="H45" s="524"/>
      <c r="I45" s="175"/>
      <c r="J45" s="175"/>
      <c r="K45" s="176"/>
      <c r="L45" s="546"/>
      <c r="M45" s="546"/>
    </row>
    <row r="46" spans="2:13">
      <c r="B46" s="516"/>
      <c r="C46" s="517"/>
      <c r="D46" s="517"/>
      <c r="E46" s="517"/>
      <c r="F46" s="518"/>
      <c r="G46" s="523"/>
      <c r="H46" s="524"/>
      <c r="I46" s="175"/>
      <c r="J46" s="175"/>
      <c r="K46" s="176"/>
      <c r="L46" s="546"/>
      <c r="M46" s="546"/>
    </row>
    <row r="47" spans="2:13">
      <c r="B47" s="516"/>
      <c r="C47" s="517"/>
      <c r="D47" s="517"/>
      <c r="E47" s="517"/>
      <c r="F47" s="518"/>
      <c r="G47" s="523"/>
      <c r="H47" s="524"/>
      <c r="I47" s="175"/>
      <c r="J47" s="175"/>
      <c r="K47" s="176"/>
      <c r="L47" s="546"/>
      <c r="M47" s="546"/>
    </row>
    <row r="48" spans="2:13" ht="13.8" thickBot="1">
      <c r="B48" s="547" t="s">
        <v>353</v>
      </c>
      <c r="C48" s="547"/>
      <c r="D48" s="547"/>
      <c r="E48" s="547"/>
      <c r="F48" s="547"/>
      <c r="G48" s="547"/>
      <c r="H48" s="547"/>
      <c r="I48" s="547"/>
      <c r="J48" s="547"/>
      <c r="K48" s="547"/>
      <c r="L48" s="547"/>
      <c r="M48" s="547"/>
    </row>
    <row r="49" spans="2:13" ht="13.8" thickBot="1">
      <c r="B49" s="127"/>
      <c r="C49" s="127"/>
      <c r="D49" s="127"/>
      <c r="E49" s="127"/>
      <c r="F49" s="127"/>
      <c r="G49" s="127"/>
      <c r="H49" s="127"/>
      <c r="I49" s="127"/>
      <c r="J49" s="127"/>
      <c r="K49" s="127"/>
      <c r="L49" s="127"/>
      <c r="M49" s="127"/>
    </row>
    <row r="50" spans="2:13" ht="13.5" customHeight="1" thickBot="1">
      <c r="B50" s="392" t="s">
        <v>282</v>
      </c>
      <c r="C50" s="392"/>
      <c r="D50" s="392"/>
      <c r="E50" s="392"/>
      <c r="F50" s="392"/>
      <c r="G50" s="392"/>
      <c r="H50" s="392"/>
      <c r="I50" s="392"/>
      <c r="J50" s="392"/>
      <c r="K50" s="392"/>
      <c r="L50" s="392"/>
      <c r="M50" s="392"/>
    </row>
    <row r="51" spans="2:13" ht="33.75" customHeight="1" thickBot="1">
      <c r="B51" s="508" t="s">
        <v>280</v>
      </c>
      <c r="C51" s="509"/>
      <c r="D51" s="509"/>
      <c r="E51" s="515"/>
      <c r="F51" s="508" t="s">
        <v>284</v>
      </c>
      <c r="G51" s="509"/>
      <c r="H51" s="510"/>
      <c r="I51" s="514" t="s">
        <v>283</v>
      </c>
      <c r="J51" s="510"/>
      <c r="K51" s="514" t="s">
        <v>251</v>
      </c>
      <c r="L51" s="509"/>
      <c r="M51" s="515"/>
    </row>
    <row r="52" spans="2:13">
      <c r="B52" s="511"/>
      <c r="C52" s="512"/>
      <c r="D52" s="512"/>
      <c r="E52" s="513"/>
      <c r="F52" s="511"/>
      <c r="G52" s="512"/>
      <c r="H52" s="513"/>
      <c r="I52" s="560"/>
      <c r="J52" s="560"/>
      <c r="K52" s="511"/>
      <c r="L52" s="512"/>
      <c r="M52" s="513"/>
    </row>
    <row r="53" spans="2:13">
      <c r="B53" s="505"/>
      <c r="C53" s="506"/>
      <c r="D53" s="506"/>
      <c r="E53" s="507"/>
      <c r="F53" s="505"/>
      <c r="G53" s="506"/>
      <c r="H53" s="507"/>
      <c r="I53" s="380"/>
      <c r="J53" s="380"/>
      <c r="K53" s="505"/>
      <c r="L53" s="506"/>
      <c r="M53" s="507"/>
    </row>
    <row r="54" spans="2:13">
      <c r="B54" s="505"/>
      <c r="C54" s="506"/>
      <c r="D54" s="506"/>
      <c r="E54" s="507"/>
      <c r="F54" s="505"/>
      <c r="G54" s="506"/>
      <c r="H54" s="507"/>
      <c r="I54" s="380"/>
      <c r="J54" s="380"/>
      <c r="K54" s="505"/>
      <c r="L54" s="506"/>
      <c r="M54" s="507"/>
    </row>
    <row r="55" spans="2:13" ht="13.5" customHeight="1" thickBot="1">
      <c r="B55" s="384" t="s">
        <v>281</v>
      </c>
      <c r="C55" s="384"/>
      <c r="D55" s="384"/>
      <c r="E55" s="384"/>
      <c r="F55" s="384"/>
      <c r="G55" s="384"/>
      <c r="H55" s="384"/>
      <c r="I55" s="384"/>
      <c r="J55" s="384"/>
      <c r="K55" s="384"/>
      <c r="L55" s="384"/>
      <c r="M55" s="384"/>
    </row>
    <row r="56" spans="2:13" ht="46.5" customHeight="1" thickBot="1">
      <c r="B56" s="313"/>
      <c r="C56" s="313"/>
      <c r="D56" s="313"/>
      <c r="E56" s="313"/>
      <c r="F56" s="313"/>
      <c r="G56" s="313"/>
      <c r="H56" s="313"/>
      <c r="I56" s="313"/>
      <c r="J56" s="313"/>
      <c r="K56" s="313"/>
      <c r="L56" s="313"/>
      <c r="M56" s="313"/>
    </row>
    <row r="57" spans="2:13" ht="12.75" customHeight="1">
      <c r="B57" s="313" t="s">
        <v>13</v>
      </c>
      <c r="C57" s="313"/>
      <c r="D57" s="313"/>
      <c r="E57" s="313"/>
      <c r="F57" s="313"/>
      <c r="G57" s="313"/>
      <c r="H57" s="313"/>
      <c r="I57" s="313"/>
      <c r="J57" s="313"/>
      <c r="K57" s="313"/>
      <c r="L57" s="313"/>
      <c r="M57" s="313"/>
    </row>
    <row r="58" spans="2:13" ht="55.5" customHeight="1" thickBot="1">
      <c r="B58" s="424"/>
      <c r="C58" s="424"/>
      <c r="D58" s="424"/>
      <c r="E58" s="424"/>
      <c r="F58" s="424"/>
      <c r="G58" s="424"/>
      <c r="H58" s="424"/>
      <c r="I58" s="424"/>
      <c r="J58" s="424"/>
      <c r="K58" s="424"/>
      <c r="L58" s="424"/>
      <c r="M58" s="424"/>
    </row>
    <row r="59" spans="2:13" ht="12.75" customHeight="1">
      <c r="B59" s="313" t="s">
        <v>301</v>
      </c>
      <c r="C59" s="313"/>
      <c r="D59" s="313"/>
      <c r="E59" s="313"/>
      <c r="F59" s="313"/>
      <c r="G59" s="313"/>
      <c r="H59" s="313"/>
      <c r="I59" s="313"/>
      <c r="J59" s="313"/>
      <c r="K59" s="313"/>
      <c r="L59" s="313"/>
      <c r="M59" s="313"/>
    </row>
    <row r="60" spans="2:13" ht="51" customHeight="1" thickBot="1">
      <c r="B60" s="311"/>
      <c r="C60" s="311"/>
      <c r="D60" s="311"/>
      <c r="E60" s="311"/>
      <c r="F60" s="311"/>
      <c r="G60" s="311"/>
      <c r="H60" s="311"/>
      <c r="I60" s="311"/>
      <c r="J60" s="311"/>
      <c r="K60" s="311"/>
      <c r="L60" s="311"/>
      <c r="M60" s="311"/>
    </row>
    <row r="61" spans="2:13" ht="12.75" customHeight="1">
      <c r="B61" s="313" t="s">
        <v>302</v>
      </c>
      <c r="C61" s="313"/>
      <c r="D61" s="313"/>
      <c r="E61" s="313"/>
      <c r="F61" s="313"/>
      <c r="G61" s="313"/>
      <c r="H61" s="313"/>
      <c r="I61" s="313"/>
      <c r="J61" s="313"/>
      <c r="K61" s="313"/>
      <c r="L61" s="313"/>
      <c r="M61" s="313"/>
    </row>
    <row r="62" spans="2:13" ht="53.25" customHeight="1" thickBot="1">
      <c r="B62" s="310"/>
      <c r="C62" s="310"/>
      <c r="D62" s="310"/>
      <c r="E62" s="310"/>
      <c r="F62" s="310"/>
      <c r="G62" s="310"/>
      <c r="H62" s="310"/>
      <c r="I62" s="310"/>
      <c r="J62" s="310"/>
      <c r="K62" s="310"/>
      <c r="L62" s="310"/>
      <c r="M62" s="310"/>
    </row>
    <row r="63" spans="2:13" ht="12.75" customHeight="1">
      <c r="B63" s="313" t="s">
        <v>14</v>
      </c>
      <c r="C63" s="313"/>
      <c r="D63" s="313"/>
      <c r="E63" s="313"/>
      <c r="F63" s="313"/>
      <c r="G63" s="313"/>
      <c r="H63" s="313"/>
      <c r="I63" s="313"/>
      <c r="J63" s="313"/>
      <c r="K63" s="313"/>
      <c r="L63" s="313"/>
      <c r="M63" s="313"/>
    </row>
    <row r="64" spans="2:13" ht="12.75" customHeight="1">
      <c r="B64" s="445" t="s">
        <v>15</v>
      </c>
      <c r="C64" s="445"/>
      <c r="D64" s="445"/>
      <c r="E64" s="445"/>
      <c r="F64" s="445"/>
      <c r="G64" s="445" t="s">
        <v>16</v>
      </c>
      <c r="H64" s="445"/>
      <c r="I64" s="445"/>
      <c r="J64" s="445"/>
      <c r="K64" s="402" t="s">
        <v>17</v>
      </c>
      <c r="L64" s="403"/>
      <c r="M64" s="403"/>
    </row>
    <row r="65" spans="2:13" ht="56.25" customHeight="1">
      <c r="B65" s="383"/>
      <c r="C65" s="383"/>
      <c r="D65" s="383"/>
      <c r="E65" s="383"/>
      <c r="F65" s="383"/>
      <c r="G65" s="383"/>
      <c r="H65" s="383"/>
      <c r="I65" s="383"/>
      <c r="J65" s="383"/>
      <c r="K65" s="478"/>
      <c r="L65" s="479"/>
      <c r="M65" s="479"/>
    </row>
  </sheetData>
  <mergeCells count="105">
    <mergeCell ref="B19:M19"/>
    <mergeCell ref="B5:B6"/>
    <mergeCell ref="L5:L6"/>
    <mergeCell ref="M5:M6"/>
    <mergeCell ref="E5:E6"/>
    <mergeCell ref="D5:D6"/>
    <mergeCell ref="I6:J6"/>
    <mergeCell ref="I5:K5"/>
    <mergeCell ref="B2:C3"/>
    <mergeCell ref="D2:J3"/>
    <mergeCell ref="M2:M3"/>
    <mergeCell ref="K2:L3"/>
    <mergeCell ref="C5:C6"/>
    <mergeCell ref="B18:M18"/>
    <mergeCell ref="L4:M4"/>
    <mergeCell ref="F5:F6"/>
    <mergeCell ref="G5:G6"/>
    <mergeCell ref="H5:H6"/>
    <mergeCell ref="L42:M42"/>
    <mergeCell ref="L32:M32"/>
    <mergeCell ref="J32:J33"/>
    <mergeCell ref="B39:M39"/>
    <mergeCell ref="B41:M41"/>
    <mergeCell ref="C34:F34"/>
    <mergeCell ref="C22:H22"/>
    <mergeCell ref="B21:M21"/>
    <mergeCell ref="B22:B23"/>
    <mergeCell ref="I22:I23"/>
    <mergeCell ref="J22:J23"/>
    <mergeCell ref="K22:K23"/>
    <mergeCell ref="L22:M22"/>
    <mergeCell ref="K32:K33"/>
    <mergeCell ref="B31:M31"/>
    <mergeCell ref="B32:B33"/>
    <mergeCell ref="I32:I33"/>
    <mergeCell ref="C36:F36"/>
    <mergeCell ref="G36:H36"/>
    <mergeCell ref="C37:F37"/>
    <mergeCell ref="B20:M20"/>
    <mergeCell ref="B55:M55"/>
    <mergeCell ref="G23:H23"/>
    <mergeCell ref="G24:H24"/>
    <mergeCell ref="G25:H25"/>
    <mergeCell ref="G26:H26"/>
    <mergeCell ref="G34:H34"/>
    <mergeCell ref="C35:F35"/>
    <mergeCell ref="G35:H35"/>
    <mergeCell ref="C32:H32"/>
    <mergeCell ref="L43:M47"/>
    <mergeCell ref="B48:M48"/>
    <mergeCell ref="G37:H37"/>
    <mergeCell ref="I54:J54"/>
    <mergeCell ref="B50:M50"/>
    <mergeCell ref="I51:J51"/>
    <mergeCell ref="I52:J52"/>
    <mergeCell ref="B62:M62"/>
    <mergeCell ref="B63:M63"/>
    <mergeCell ref="B64:F64"/>
    <mergeCell ref="G64:J64"/>
    <mergeCell ref="K64:M64"/>
    <mergeCell ref="B65:F65"/>
    <mergeCell ref="G65:J65"/>
    <mergeCell ref="K65:M65"/>
    <mergeCell ref="B56:M56"/>
    <mergeCell ref="B57:M57"/>
    <mergeCell ref="B58:M58"/>
    <mergeCell ref="B59:M59"/>
    <mergeCell ref="B60:M60"/>
    <mergeCell ref="B61:M61"/>
    <mergeCell ref="G44:H44"/>
    <mergeCell ref="G45:H45"/>
    <mergeCell ref="G46:H46"/>
    <mergeCell ref="G47:H47"/>
    <mergeCell ref="B43:F43"/>
    <mergeCell ref="G27:H27"/>
    <mergeCell ref="G28:H28"/>
    <mergeCell ref="C23:F23"/>
    <mergeCell ref="C24:F24"/>
    <mergeCell ref="C25:F25"/>
    <mergeCell ref="C26:F26"/>
    <mergeCell ref="C27:F27"/>
    <mergeCell ref="B30:M30"/>
    <mergeCell ref="G42:H42"/>
    <mergeCell ref="B42:F42"/>
    <mergeCell ref="B54:E54"/>
    <mergeCell ref="F51:H51"/>
    <mergeCell ref="F52:H52"/>
    <mergeCell ref="F53:H53"/>
    <mergeCell ref="F54:H54"/>
    <mergeCell ref="K51:M51"/>
    <mergeCell ref="K52:M52"/>
    <mergeCell ref="K53:M53"/>
    <mergeCell ref="K54:M54"/>
    <mergeCell ref="I53:J53"/>
    <mergeCell ref="B44:F44"/>
    <mergeCell ref="B45:F45"/>
    <mergeCell ref="B46:F46"/>
    <mergeCell ref="B51:E51"/>
    <mergeCell ref="B52:E52"/>
    <mergeCell ref="B53:E53"/>
    <mergeCell ref="G38:H38"/>
    <mergeCell ref="C33:F33"/>
    <mergeCell ref="G33:H33"/>
    <mergeCell ref="B47:F47"/>
    <mergeCell ref="G43:H43"/>
  </mergeCells>
  <phoneticPr fontId="2" type="noConversion"/>
  <printOptions horizontalCentered="1"/>
  <pageMargins left="0.39370078740157483" right="0.39370078740157483" top="0.51181102362204722" bottom="0.51181102362204722" header="0.31496062992125984" footer="0.31496062992125984"/>
  <pageSetup orientation="portrait" r:id="rId1"/>
  <headerFooter>
    <oddFooter>&amp;RRevisão: 00          
11.06.2012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tint="-0.14999847407452621"/>
  </sheetPr>
  <dimension ref="A1:L39"/>
  <sheetViews>
    <sheetView showGridLines="0" tabSelected="1" workbookViewId="0">
      <selection activeCell="J2" sqref="J2:K2"/>
    </sheetView>
  </sheetViews>
  <sheetFormatPr defaultColWidth="9.109375" defaultRowHeight="13.2"/>
  <cols>
    <col min="1" max="1" width="0.6640625" style="184" customWidth="1"/>
    <col min="2" max="2" width="4.6640625" style="184" customWidth="1"/>
    <col min="3" max="3" width="9.6640625" style="184" customWidth="1"/>
    <col min="4" max="4" width="10.5546875" style="184" customWidth="1"/>
    <col min="5" max="5" width="11.6640625" style="184" customWidth="1"/>
    <col min="6" max="7" width="10.5546875" style="184" customWidth="1"/>
    <col min="8" max="8" width="12" style="184" customWidth="1"/>
    <col min="9" max="10" width="10.5546875" style="184" customWidth="1"/>
    <col min="11" max="11" width="13.109375" style="184" customWidth="1"/>
    <col min="12" max="16384" width="9.109375" style="184"/>
  </cols>
  <sheetData>
    <row r="1" spans="2:11" ht="4.5" customHeight="1" thickBot="1"/>
    <row r="2" spans="2:11" ht="57" customHeight="1">
      <c r="B2" s="593" t="s">
        <v>256</v>
      </c>
      <c r="C2" s="594"/>
      <c r="D2" s="594"/>
      <c r="E2" s="597" t="s">
        <v>357</v>
      </c>
      <c r="F2" s="598"/>
      <c r="G2" s="598"/>
      <c r="H2" s="598"/>
      <c r="I2" s="598"/>
      <c r="J2" s="561" t="s">
        <v>435</v>
      </c>
      <c r="K2" s="561"/>
    </row>
    <row r="3" spans="2:11" s="185" customFormat="1" ht="15" customHeight="1">
      <c r="B3" s="595"/>
      <c r="C3" s="596"/>
      <c r="D3" s="596"/>
      <c r="E3" s="599"/>
      <c r="F3" s="600"/>
      <c r="G3" s="600"/>
      <c r="H3" s="600"/>
      <c r="I3" s="600"/>
      <c r="J3" s="562" t="s">
        <v>270</v>
      </c>
      <c r="K3" s="563"/>
    </row>
    <row r="4" spans="2:11" ht="12.75" customHeight="1" thickBot="1">
      <c r="B4" s="564" t="s">
        <v>370</v>
      </c>
      <c r="C4" s="565"/>
      <c r="D4" s="565"/>
      <c r="E4" s="565"/>
      <c r="F4" s="565"/>
      <c r="G4" s="565"/>
      <c r="H4" s="565"/>
      <c r="I4" s="186"/>
      <c r="J4" s="186" t="s">
        <v>275</v>
      </c>
      <c r="K4" s="187"/>
    </row>
    <row r="5" spans="2:11" ht="12.75" hidden="1" customHeight="1" thickBot="1">
      <c r="B5" s="188" t="s">
        <v>8</v>
      </c>
      <c r="C5" s="189" t="s">
        <v>9</v>
      </c>
      <c r="D5" s="190" t="s">
        <v>252</v>
      </c>
      <c r="E5" s="189" t="s">
        <v>25</v>
      </c>
      <c r="F5" s="189" t="s">
        <v>358</v>
      </c>
      <c r="G5" s="601" t="s">
        <v>28</v>
      </c>
      <c r="H5" s="601"/>
      <c r="I5" s="601"/>
      <c r="J5" s="189" t="s">
        <v>359</v>
      </c>
      <c r="K5" s="191" t="s">
        <v>29</v>
      </c>
    </row>
    <row r="6" spans="2:11" ht="12.75" customHeight="1">
      <c r="B6" s="602" t="s">
        <v>360</v>
      </c>
      <c r="C6" s="603"/>
      <c r="D6" s="604"/>
      <c r="E6" s="604"/>
      <c r="F6" s="604"/>
      <c r="G6" s="604"/>
      <c r="H6" s="604"/>
      <c r="I6" s="192"/>
      <c r="J6" s="192"/>
      <c r="K6" s="193"/>
    </row>
    <row r="7" spans="2:11" ht="12.75" customHeight="1">
      <c r="B7" s="605" t="s">
        <v>361</v>
      </c>
      <c r="C7" s="604"/>
      <c r="D7" s="604"/>
      <c r="E7" s="604"/>
      <c r="F7" s="604"/>
      <c r="G7" s="192"/>
      <c r="H7" s="192"/>
      <c r="I7" s="192"/>
      <c r="J7" s="192"/>
      <c r="K7" s="193"/>
    </row>
    <row r="8" spans="2:11" ht="12.75" customHeight="1">
      <c r="B8" s="605" t="s">
        <v>362</v>
      </c>
      <c r="C8" s="604"/>
      <c r="D8" s="604"/>
      <c r="E8" s="194" t="s">
        <v>371</v>
      </c>
      <c r="F8" s="192"/>
      <c r="G8" s="606" t="s">
        <v>363</v>
      </c>
      <c r="H8" s="606"/>
      <c r="I8" s="194" t="s">
        <v>364</v>
      </c>
      <c r="J8" s="192"/>
      <c r="K8" s="193"/>
    </row>
    <row r="9" spans="2:11" ht="12.75" customHeight="1">
      <c r="B9" s="195"/>
      <c r="C9" s="192"/>
      <c r="D9" s="192"/>
      <c r="E9" s="194" t="s">
        <v>365</v>
      </c>
      <c r="F9" s="192"/>
      <c r="G9" s="192"/>
      <c r="H9" s="192"/>
      <c r="I9" s="194" t="s">
        <v>372</v>
      </c>
      <c r="J9" s="192"/>
      <c r="K9" s="193"/>
    </row>
    <row r="10" spans="2:11" ht="12.75" customHeight="1">
      <c r="B10" s="195"/>
      <c r="C10" s="192"/>
      <c r="D10" s="192"/>
      <c r="E10" s="184" t="s">
        <v>366</v>
      </c>
      <c r="F10" s="192"/>
      <c r="G10" s="192"/>
      <c r="H10" s="192"/>
      <c r="I10" s="184" t="s">
        <v>367</v>
      </c>
      <c r="J10" s="192"/>
      <c r="K10" s="193"/>
    </row>
    <row r="11" spans="2:11" ht="12.75" customHeight="1">
      <c r="B11" s="195"/>
      <c r="C11" s="192"/>
      <c r="D11" s="192"/>
      <c r="E11" s="192"/>
      <c r="F11" s="192"/>
      <c r="G11" s="192"/>
      <c r="H11" s="192"/>
      <c r="I11" s="184" t="s">
        <v>368</v>
      </c>
      <c r="J11" s="192"/>
      <c r="K11" s="193"/>
    </row>
    <row r="12" spans="2:11" ht="12.75" customHeight="1">
      <c r="B12" s="577" t="s">
        <v>373</v>
      </c>
      <c r="C12" s="578"/>
      <c r="D12" s="578"/>
      <c r="E12" s="578"/>
      <c r="F12" s="578"/>
      <c r="G12" s="578"/>
      <c r="H12" s="578"/>
      <c r="I12" s="578"/>
      <c r="J12" s="578"/>
      <c r="K12" s="579"/>
    </row>
    <row r="13" spans="2:11" ht="12.75" customHeight="1">
      <c r="B13" s="577" t="s">
        <v>413</v>
      </c>
      <c r="C13" s="578"/>
      <c r="D13" s="578"/>
      <c r="E13" s="578"/>
      <c r="F13" s="578"/>
      <c r="G13" s="578"/>
      <c r="H13" s="578"/>
      <c r="I13" s="578"/>
      <c r="J13" s="578"/>
      <c r="K13" s="579"/>
    </row>
    <row r="14" spans="2:11" ht="12.75" customHeight="1">
      <c r="B14" s="577" t="s">
        <v>415</v>
      </c>
      <c r="C14" s="578"/>
      <c r="D14" s="578"/>
      <c r="E14" s="578"/>
      <c r="F14" s="578"/>
      <c r="G14" s="578"/>
      <c r="H14" s="578"/>
      <c r="I14" s="578"/>
      <c r="J14" s="578"/>
      <c r="K14" s="579"/>
    </row>
    <row r="15" spans="2:11" ht="12.75" customHeight="1">
      <c r="B15" s="580" t="s">
        <v>414</v>
      </c>
      <c r="C15" s="581"/>
      <c r="D15" s="581"/>
      <c r="E15" s="581"/>
      <c r="F15" s="581"/>
      <c r="G15" s="581"/>
      <c r="H15" s="581"/>
      <c r="I15" s="581"/>
      <c r="J15" s="582"/>
      <c r="K15" s="583"/>
    </row>
    <row r="16" spans="2:11" ht="12.75" hidden="1" customHeight="1">
      <c r="B16" s="571"/>
      <c r="C16" s="572"/>
      <c r="D16" s="572"/>
      <c r="E16" s="572"/>
      <c r="F16" s="572"/>
      <c r="G16" s="572"/>
      <c r="H16" s="572"/>
      <c r="I16" s="572"/>
      <c r="J16" s="573"/>
      <c r="K16" s="574"/>
    </row>
    <row r="17" spans="1:12" ht="12.75" hidden="1" customHeight="1">
      <c r="B17" s="571"/>
      <c r="C17" s="572"/>
      <c r="D17" s="572"/>
      <c r="E17" s="572"/>
      <c r="F17" s="572"/>
      <c r="G17" s="572"/>
      <c r="H17" s="572"/>
      <c r="I17" s="572"/>
      <c r="J17" s="573"/>
      <c r="K17" s="574"/>
    </row>
    <row r="18" spans="1:12" ht="13.2" customHeight="1">
      <c r="B18" s="571"/>
      <c r="C18" s="572"/>
      <c r="D18" s="572"/>
      <c r="E18" s="572"/>
      <c r="F18" s="572"/>
      <c r="G18" s="572"/>
      <c r="H18" s="572"/>
      <c r="I18" s="572"/>
      <c r="J18" s="575"/>
      <c r="K18" s="576"/>
    </row>
    <row r="19" spans="1:12" ht="12.75" customHeight="1">
      <c r="B19" s="584" t="s">
        <v>374</v>
      </c>
      <c r="C19" s="585"/>
      <c r="D19" s="585"/>
      <c r="E19" s="585"/>
      <c r="F19" s="585"/>
      <c r="G19" s="585"/>
      <c r="H19" s="585"/>
      <c r="I19" s="585"/>
      <c r="J19" s="585"/>
      <c r="K19" s="586"/>
    </row>
    <row r="20" spans="1:12" ht="12.75" customHeight="1">
      <c r="B20" s="587"/>
      <c r="C20" s="588"/>
      <c r="D20" s="588"/>
      <c r="E20" s="588"/>
      <c r="F20" s="588"/>
      <c r="G20" s="588"/>
      <c r="H20" s="588"/>
      <c r="I20" s="588"/>
      <c r="J20" s="588"/>
      <c r="K20" s="589"/>
    </row>
    <row r="21" spans="1:12" ht="12.75" customHeight="1">
      <c r="B21" s="587"/>
      <c r="C21" s="588"/>
      <c r="D21" s="588"/>
      <c r="E21" s="588"/>
      <c r="F21" s="588"/>
      <c r="G21" s="588"/>
      <c r="H21" s="588"/>
      <c r="I21" s="588"/>
      <c r="J21" s="588"/>
      <c r="K21" s="589"/>
    </row>
    <row r="22" spans="1:12" ht="12.75" customHeight="1">
      <c r="B22" s="587"/>
      <c r="C22" s="588"/>
      <c r="D22" s="588"/>
      <c r="E22" s="588"/>
      <c r="F22" s="588"/>
      <c r="G22" s="588"/>
      <c r="H22" s="588"/>
      <c r="I22" s="588"/>
      <c r="J22" s="588"/>
      <c r="K22" s="589"/>
    </row>
    <row r="23" spans="1:12" ht="12.75" customHeight="1">
      <c r="B23" s="587"/>
      <c r="C23" s="588"/>
      <c r="D23" s="588"/>
      <c r="E23" s="588"/>
      <c r="F23" s="588"/>
      <c r="G23" s="588"/>
      <c r="H23" s="588"/>
      <c r="I23" s="588"/>
      <c r="J23" s="588"/>
      <c r="K23" s="589"/>
    </row>
    <row r="24" spans="1:12" ht="26.4" customHeight="1">
      <c r="B24" s="587"/>
      <c r="C24" s="588"/>
      <c r="D24" s="588"/>
      <c r="E24" s="588"/>
      <c r="F24" s="588"/>
      <c r="G24" s="588"/>
      <c r="H24" s="588"/>
      <c r="I24" s="588"/>
      <c r="J24" s="588"/>
      <c r="K24" s="589"/>
    </row>
    <row r="25" spans="1:12" ht="12.75" customHeight="1">
      <c r="B25" s="590"/>
      <c r="C25" s="591"/>
      <c r="D25" s="591"/>
      <c r="E25" s="591"/>
      <c r="F25" s="591"/>
      <c r="G25" s="591"/>
      <c r="H25" s="591"/>
      <c r="I25" s="591"/>
      <c r="J25" s="591"/>
      <c r="K25" s="592"/>
    </row>
    <row r="26" spans="1:12" ht="12.75" hidden="1" customHeight="1">
      <c r="B26" s="584" t="s">
        <v>369</v>
      </c>
      <c r="C26" s="585"/>
      <c r="D26" s="192"/>
      <c r="E26" s="192"/>
      <c r="F26" s="192"/>
      <c r="G26" s="192"/>
      <c r="H26" s="192"/>
      <c r="I26" s="192"/>
      <c r="J26" s="192"/>
      <c r="K26" s="193"/>
    </row>
    <row r="27" spans="1:12" ht="12.75" hidden="1" customHeight="1" thickBot="1">
      <c r="B27" s="568"/>
      <c r="C27" s="569"/>
      <c r="D27" s="569"/>
      <c r="E27" s="569"/>
      <c r="F27" s="569"/>
      <c r="G27" s="569"/>
      <c r="H27" s="569"/>
      <c r="I27" s="569"/>
      <c r="J27" s="569"/>
      <c r="K27" s="570"/>
    </row>
    <row r="28" spans="1:12" ht="12.75" hidden="1" customHeight="1" thickBot="1">
      <c r="B28" s="568"/>
      <c r="C28" s="569"/>
      <c r="D28" s="569"/>
      <c r="E28" s="569"/>
      <c r="F28" s="569"/>
      <c r="G28" s="569"/>
      <c r="H28" s="569"/>
      <c r="I28" s="569"/>
      <c r="J28" s="569"/>
      <c r="K28" s="570"/>
    </row>
    <row r="29" spans="1:12" ht="13.5" customHeight="1">
      <c r="B29" s="566" t="s">
        <v>281</v>
      </c>
      <c r="C29" s="566"/>
      <c r="D29" s="566"/>
      <c r="E29" s="566"/>
      <c r="F29" s="566"/>
      <c r="G29" s="566"/>
      <c r="H29" s="566"/>
      <c r="I29" s="566"/>
      <c r="J29" s="566"/>
      <c r="K29" s="566"/>
    </row>
    <row r="30" spans="1:12" ht="54.75" customHeight="1">
      <c r="B30" s="566"/>
      <c r="C30" s="566"/>
      <c r="D30" s="566"/>
      <c r="E30" s="566"/>
      <c r="F30" s="566"/>
      <c r="G30" s="566"/>
      <c r="H30" s="566"/>
      <c r="I30" s="566"/>
      <c r="J30" s="566"/>
      <c r="K30" s="566"/>
      <c r="L30" s="196"/>
    </row>
    <row r="31" spans="1:12" ht="18.75" customHeight="1">
      <c r="A31" s="197"/>
      <c r="B31" s="566" t="s">
        <v>13</v>
      </c>
      <c r="C31" s="566"/>
      <c r="D31" s="566"/>
      <c r="E31" s="566"/>
      <c r="F31" s="566"/>
      <c r="G31" s="566"/>
      <c r="H31" s="566"/>
      <c r="I31" s="566"/>
      <c r="J31" s="566"/>
      <c r="K31" s="566"/>
      <c r="L31" s="185"/>
    </row>
    <row r="32" spans="1:12" ht="66.75" customHeight="1">
      <c r="B32" s="567"/>
      <c r="C32" s="567"/>
      <c r="D32" s="567"/>
      <c r="E32" s="567"/>
      <c r="F32" s="567"/>
      <c r="G32" s="567"/>
      <c r="H32" s="567"/>
      <c r="I32" s="567"/>
      <c r="J32" s="567"/>
      <c r="K32" s="567"/>
    </row>
    <row r="33" spans="1:11" ht="12.75" customHeight="1">
      <c r="B33" s="566" t="s">
        <v>301</v>
      </c>
      <c r="C33" s="566"/>
      <c r="D33" s="566"/>
      <c r="E33" s="566"/>
      <c r="F33" s="566"/>
      <c r="G33" s="566"/>
      <c r="H33" s="566"/>
      <c r="I33" s="566"/>
      <c r="J33" s="566"/>
      <c r="K33" s="566"/>
    </row>
    <row r="34" spans="1:11" ht="56.25" customHeight="1">
      <c r="B34" s="460"/>
      <c r="C34" s="460"/>
      <c r="D34" s="460"/>
      <c r="E34" s="460"/>
      <c r="F34" s="460"/>
      <c r="G34" s="460"/>
      <c r="H34" s="460"/>
      <c r="I34" s="460"/>
      <c r="J34" s="460"/>
      <c r="K34" s="460"/>
    </row>
    <row r="35" spans="1:11" ht="15.75" customHeight="1">
      <c r="B35" s="566" t="s">
        <v>302</v>
      </c>
      <c r="C35" s="566"/>
      <c r="D35" s="566"/>
      <c r="E35" s="566"/>
      <c r="F35" s="566"/>
      <c r="G35" s="566"/>
      <c r="H35" s="566"/>
      <c r="I35" s="566"/>
      <c r="J35" s="566"/>
      <c r="K35" s="566"/>
    </row>
    <row r="36" spans="1:11" ht="49.5" customHeight="1">
      <c r="B36" s="567"/>
      <c r="C36" s="567"/>
      <c r="D36" s="567"/>
      <c r="E36" s="567"/>
      <c r="F36" s="567"/>
      <c r="G36" s="567"/>
      <c r="H36" s="567"/>
      <c r="I36" s="567"/>
      <c r="J36" s="567"/>
      <c r="K36" s="567"/>
    </row>
    <row r="37" spans="1:11" ht="12.75" customHeight="1">
      <c r="B37" s="566" t="s">
        <v>14</v>
      </c>
      <c r="C37" s="566"/>
      <c r="D37" s="566"/>
      <c r="E37" s="566"/>
      <c r="F37" s="566"/>
      <c r="G37" s="566"/>
      <c r="H37" s="566"/>
      <c r="I37" s="566"/>
      <c r="J37" s="566"/>
      <c r="K37" s="566"/>
    </row>
    <row r="38" spans="1:11" ht="28.5" customHeight="1">
      <c r="A38" s="198"/>
      <c r="B38" s="445" t="s">
        <v>15</v>
      </c>
      <c r="C38" s="445"/>
      <c r="D38" s="445"/>
      <c r="E38" s="445"/>
      <c r="F38" s="445" t="s">
        <v>16</v>
      </c>
      <c r="G38" s="445"/>
      <c r="H38" s="445"/>
      <c r="I38" s="445" t="s">
        <v>17</v>
      </c>
      <c r="J38" s="445"/>
      <c r="K38" s="445"/>
    </row>
    <row r="39" spans="1:11" ht="57.75" customHeight="1">
      <c r="B39" s="383"/>
      <c r="C39" s="383"/>
      <c r="D39" s="383"/>
      <c r="E39" s="383"/>
      <c r="F39" s="383"/>
      <c r="G39" s="383"/>
      <c r="H39" s="383"/>
      <c r="I39" s="383"/>
      <c r="J39" s="383"/>
      <c r="K39" s="383"/>
    </row>
  </sheetData>
  <mergeCells count="42">
    <mergeCell ref="B36:K36"/>
    <mergeCell ref="B7:C7"/>
    <mergeCell ref="D7:F7"/>
    <mergeCell ref="B8:D8"/>
    <mergeCell ref="G8:H8"/>
    <mergeCell ref="B2:D3"/>
    <mergeCell ref="E2:I3"/>
    <mergeCell ref="G5:I5"/>
    <mergeCell ref="B6:C6"/>
    <mergeCell ref="D6:H6"/>
    <mergeCell ref="B12:K12"/>
    <mergeCell ref="B15:I15"/>
    <mergeCell ref="J15:K15"/>
    <mergeCell ref="B19:K25"/>
    <mergeCell ref="B26:C26"/>
    <mergeCell ref="B13:K13"/>
    <mergeCell ref="B14:K14"/>
    <mergeCell ref="B35:K35"/>
    <mergeCell ref="B28:K28"/>
    <mergeCell ref="B16:I16"/>
    <mergeCell ref="J16:K16"/>
    <mergeCell ref="B17:I17"/>
    <mergeCell ref="J17:K17"/>
    <mergeCell ref="B18:I18"/>
    <mergeCell ref="J18:K18"/>
    <mergeCell ref="B27:K27"/>
    <mergeCell ref="B39:E39"/>
    <mergeCell ref="F39:H39"/>
    <mergeCell ref="I39:K39"/>
    <mergeCell ref="J2:K2"/>
    <mergeCell ref="J3:K3"/>
    <mergeCell ref="B4:H4"/>
    <mergeCell ref="B29:K29"/>
    <mergeCell ref="B30:K30"/>
    <mergeCell ref="B31:K31"/>
    <mergeCell ref="B38:E38"/>
    <mergeCell ref="F38:H38"/>
    <mergeCell ref="I38:K38"/>
    <mergeCell ref="B37:K37"/>
    <mergeCell ref="B32:K32"/>
    <mergeCell ref="B33:K33"/>
    <mergeCell ref="B34:K34"/>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59"/>
  <sheetViews>
    <sheetView showGridLines="0" zoomScaleNormal="100" workbookViewId="0">
      <selection activeCell="R20" sqref="R20"/>
    </sheetView>
  </sheetViews>
  <sheetFormatPr defaultColWidth="9.109375" defaultRowHeight="13.2"/>
  <cols>
    <col min="1" max="1" width="0.88671875" style="3" customWidth="1"/>
    <col min="2" max="2" width="8.88671875" style="3" customWidth="1"/>
    <col min="3" max="3" width="9.5546875" style="3" customWidth="1"/>
    <col min="4" max="4" width="10.88671875" style="15" customWidth="1"/>
    <col min="5" max="6" width="8.6640625" style="15" customWidth="1"/>
    <col min="7" max="7" width="9" style="3" customWidth="1"/>
    <col min="8" max="11" width="8.6640625" style="3" customWidth="1"/>
    <col min="12" max="12" width="10.109375" style="3" customWidth="1"/>
    <col min="13" max="13" width="11.109375" style="3" customWidth="1"/>
    <col min="14" max="14" width="12.33203125" style="3" customWidth="1"/>
    <col min="15" max="16" width="7.88671875" style="15" hidden="1" customWidth="1"/>
    <col min="17" max="17" width="10.88671875" style="3" bestFit="1" customWidth="1"/>
    <col min="18" max="19" width="11.5546875" style="3" bestFit="1" customWidth="1"/>
    <col min="20" max="16384" width="9.109375" style="3"/>
  </cols>
  <sheetData>
    <row r="1" spans="1:17" ht="3" customHeight="1">
      <c r="N1" s="54"/>
    </row>
    <row r="2" spans="1:17" s="79" customFormat="1" ht="57" customHeight="1">
      <c r="B2" s="79" t="s">
        <v>256</v>
      </c>
      <c r="E2" s="356" t="s">
        <v>271</v>
      </c>
      <c r="F2" s="357"/>
      <c r="G2" s="357"/>
      <c r="H2" s="357"/>
      <c r="I2" s="358"/>
      <c r="J2" s="280" t="s">
        <v>436</v>
      </c>
      <c r="K2" s="281"/>
      <c r="L2" s="282"/>
      <c r="M2" s="286" t="s">
        <v>270</v>
      </c>
      <c r="N2" s="126"/>
      <c r="O2" s="123"/>
      <c r="P2" s="80"/>
    </row>
    <row r="3" spans="1:17" ht="12.75" customHeight="1">
      <c r="E3" s="359"/>
      <c r="F3" s="360"/>
      <c r="G3" s="360"/>
      <c r="H3" s="360"/>
      <c r="I3" s="361"/>
      <c r="J3" s="283"/>
      <c r="K3" s="284"/>
      <c r="L3" s="285"/>
      <c r="M3" s="289"/>
      <c r="N3" s="126"/>
      <c r="O3" s="124"/>
    </row>
    <row r="4" spans="1:17" s="67" customFormat="1" ht="15" customHeight="1" thickBot="1">
      <c r="A4" s="68"/>
      <c r="B4" s="324" t="s">
        <v>291</v>
      </c>
      <c r="C4" s="324"/>
      <c r="D4" s="100"/>
      <c r="E4" s="100"/>
      <c r="F4" s="100"/>
      <c r="G4" s="100"/>
      <c r="H4" s="101"/>
      <c r="I4" s="101"/>
      <c r="J4" s="101"/>
      <c r="K4" s="102"/>
      <c r="L4" s="334"/>
      <c r="M4" s="334"/>
      <c r="N4" s="125"/>
    </row>
    <row r="5" spans="1:17" ht="13.8" thickBot="1">
      <c r="B5" s="336" t="s">
        <v>6</v>
      </c>
      <c r="C5" s="336"/>
      <c r="D5" s="337" t="s">
        <v>7</v>
      </c>
      <c r="E5" s="337"/>
      <c r="F5" s="337"/>
      <c r="G5" s="337"/>
      <c r="H5" s="337"/>
      <c r="I5" s="337"/>
      <c r="J5" s="337"/>
      <c r="K5" s="337"/>
      <c r="L5" s="337"/>
      <c r="M5" s="337"/>
    </row>
    <row r="6" spans="1:17" ht="12.75" customHeight="1">
      <c r="B6" s="338" t="s">
        <v>8</v>
      </c>
      <c r="C6" s="339" t="s">
        <v>9</v>
      </c>
      <c r="D6" s="339" t="s">
        <v>252</v>
      </c>
      <c r="E6" s="339" t="s">
        <v>34</v>
      </c>
      <c r="F6" s="339" t="s">
        <v>249</v>
      </c>
      <c r="G6" s="342" t="s">
        <v>261</v>
      </c>
      <c r="H6" s="328" t="s">
        <v>246</v>
      </c>
      <c r="I6" s="330"/>
      <c r="J6" s="328" t="s">
        <v>246</v>
      </c>
      <c r="K6" s="330"/>
      <c r="L6" s="339" t="s">
        <v>293</v>
      </c>
      <c r="M6" s="339" t="s">
        <v>292</v>
      </c>
    </row>
    <row r="7" spans="1:17">
      <c r="B7" s="338"/>
      <c r="C7" s="340"/>
      <c r="D7" s="340"/>
      <c r="E7" s="340"/>
      <c r="F7" s="340"/>
      <c r="G7" s="343"/>
      <c r="H7" s="325" t="s">
        <v>299</v>
      </c>
      <c r="I7" s="327"/>
      <c r="J7" s="325" t="s">
        <v>300</v>
      </c>
      <c r="K7" s="327"/>
      <c r="L7" s="340"/>
      <c r="M7" s="340"/>
      <c r="N7" s="135"/>
      <c r="Q7" s="134"/>
    </row>
    <row r="8" spans="1:17" ht="10.5" customHeight="1">
      <c r="B8" s="338"/>
      <c r="C8" s="341"/>
      <c r="D8" s="341"/>
      <c r="E8" s="341"/>
      <c r="F8" s="341"/>
      <c r="G8" s="344"/>
      <c r="H8" s="52" t="s">
        <v>247</v>
      </c>
      <c r="I8" s="52" t="s">
        <v>248</v>
      </c>
      <c r="J8" s="52" t="s">
        <v>247</v>
      </c>
      <c r="K8" s="52" t="s">
        <v>248</v>
      </c>
      <c r="L8" s="341"/>
      <c r="M8" s="341"/>
    </row>
    <row r="9" spans="1:17">
      <c r="B9" s="207">
        <v>1</v>
      </c>
      <c r="C9" s="205"/>
      <c r="D9" s="208"/>
      <c r="E9" s="208"/>
      <c r="F9" s="209" t="str">
        <f>IF(D9="","",D9/E9)</f>
        <v/>
      </c>
      <c r="G9" s="207"/>
      <c r="H9" s="141"/>
      <c r="I9" s="210" t="str">
        <f t="shared" ref="I9:I17" si="0">IF(D9="","",(P9*H9/O9))</f>
        <v/>
      </c>
      <c r="J9" s="141"/>
      <c r="K9" s="210" t="str">
        <f t="shared" ref="K9:K17" si="1">IF(D9="","",(P9*J9/O9))</f>
        <v/>
      </c>
      <c r="L9" s="210" t="str">
        <f t="shared" ref="L9:L19" si="2">IF(H9="","",(16.61*LOG((480/(E9*1440))*(I9/100))+85)+(16.61*LOG((E9*1440)/480)))</f>
        <v/>
      </c>
      <c r="M9" s="210" t="str">
        <f t="shared" ref="M9:M19" si="3">IF(J9="","",(10*LOG((480/(E9*1440))*(K9/100))+85)+(10*LOG((E9*1440)/480)))</f>
        <v/>
      </c>
      <c r="O9" s="16">
        <f>CONVERT(D9,"hr","mn")*24</f>
        <v>0</v>
      </c>
      <c r="P9" s="16">
        <f>CONVERT(E9,"hr","mn")*24</f>
        <v>0</v>
      </c>
      <c r="Q9" s="104"/>
    </row>
    <row r="10" spans="1:17">
      <c r="B10" s="207">
        <v>2</v>
      </c>
      <c r="C10" s="205"/>
      <c r="D10" s="208"/>
      <c r="E10" s="208"/>
      <c r="F10" s="209" t="str">
        <f t="shared" ref="F10:F19" si="4">IF(D10="","",D10/E10)</f>
        <v/>
      </c>
      <c r="G10" s="207"/>
      <c r="H10" s="141"/>
      <c r="I10" s="210" t="str">
        <f t="shared" si="0"/>
        <v/>
      </c>
      <c r="J10" s="141"/>
      <c r="K10" s="210" t="str">
        <f t="shared" si="1"/>
        <v/>
      </c>
      <c r="L10" s="210" t="str">
        <f t="shared" si="2"/>
        <v/>
      </c>
      <c r="M10" s="210" t="str">
        <f t="shared" si="3"/>
        <v/>
      </c>
      <c r="O10" s="16">
        <f t="shared" ref="O10:O19" si="5">CONVERT(D10,"hr","mn")*24</f>
        <v>0</v>
      </c>
      <c r="P10" s="16">
        <f t="shared" ref="P10:P19" si="6">CONVERT(E10,"hr","mn")*24</f>
        <v>0</v>
      </c>
    </row>
    <row r="11" spans="1:17">
      <c r="B11" s="207">
        <v>3</v>
      </c>
      <c r="C11" s="205"/>
      <c r="D11" s="211"/>
      <c r="E11" s="211"/>
      <c r="F11" s="209" t="str">
        <f t="shared" si="4"/>
        <v/>
      </c>
      <c r="G11" s="207"/>
      <c r="H11" s="141"/>
      <c r="I11" s="210" t="str">
        <f t="shared" si="0"/>
        <v/>
      </c>
      <c r="J11" s="141"/>
      <c r="K11" s="210" t="str">
        <f t="shared" si="1"/>
        <v/>
      </c>
      <c r="L11" s="210" t="str">
        <f t="shared" si="2"/>
        <v/>
      </c>
      <c r="M11" s="210" t="str">
        <f t="shared" si="3"/>
        <v/>
      </c>
      <c r="O11" s="16">
        <f t="shared" si="5"/>
        <v>0</v>
      </c>
      <c r="P11" s="16">
        <f t="shared" si="6"/>
        <v>0</v>
      </c>
    </row>
    <row r="12" spans="1:17">
      <c r="B12" s="207">
        <v>4</v>
      </c>
      <c r="C12" s="205"/>
      <c r="D12" s="211"/>
      <c r="E12" s="211"/>
      <c r="F12" s="209" t="str">
        <f t="shared" si="4"/>
        <v/>
      </c>
      <c r="G12" s="207"/>
      <c r="H12" s="141"/>
      <c r="I12" s="210" t="str">
        <f t="shared" si="0"/>
        <v/>
      </c>
      <c r="J12" s="141"/>
      <c r="K12" s="210" t="str">
        <f t="shared" si="1"/>
        <v/>
      </c>
      <c r="L12" s="210" t="str">
        <f t="shared" si="2"/>
        <v/>
      </c>
      <c r="M12" s="210" t="str">
        <f t="shared" si="3"/>
        <v/>
      </c>
      <c r="O12" s="16">
        <f t="shared" si="5"/>
        <v>0</v>
      </c>
      <c r="P12" s="16">
        <f t="shared" si="6"/>
        <v>0</v>
      </c>
    </row>
    <row r="13" spans="1:17">
      <c r="B13" s="207">
        <v>5</v>
      </c>
      <c r="C13" s="205"/>
      <c r="D13" s="211"/>
      <c r="E13" s="211"/>
      <c r="F13" s="209" t="str">
        <f t="shared" si="4"/>
        <v/>
      </c>
      <c r="G13" s="207"/>
      <c r="H13" s="141"/>
      <c r="I13" s="210" t="str">
        <f t="shared" si="0"/>
        <v/>
      </c>
      <c r="J13" s="141"/>
      <c r="K13" s="210" t="str">
        <f t="shared" si="1"/>
        <v/>
      </c>
      <c r="L13" s="210" t="str">
        <f t="shared" si="2"/>
        <v/>
      </c>
      <c r="M13" s="210" t="str">
        <f t="shared" si="3"/>
        <v/>
      </c>
      <c r="O13" s="16">
        <f t="shared" si="5"/>
        <v>0</v>
      </c>
      <c r="P13" s="16">
        <f t="shared" si="6"/>
        <v>0</v>
      </c>
    </row>
    <row r="14" spans="1:17">
      <c r="B14" s="207">
        <v>6</v>
      </c>
      <c r="C14" s="205"/>
      <c r="D14" s="211"/>
      <c r="E14" s="211"/>
      <c r="F14" s="209" t="str">
        <f t="shared" si="4"/>
        <v/>
      </c>
      <c r="G14" s="207"/>
      <c r="H14" s="141"/>
      <c r="I14" s="210" t="str">
        <f t="shared" si="0"/>
        <v/>
      </c>
      <c r="J14" s="141"/>
      <c r="K14" s="210" t="str">
        <f t="shared" si="1"/>
        <v/>
      </c>
      <c r="L14" s="210" t="str">
        <f t="shared" si="2"/>
        <v/>
      </c>
      <c r="M14" s="210" t="str">
        <f t="shared" si="3"/>
        <v/>
      </c>
      <c r="O14" s="16">
        <f t="shared" si="5"/>
        <v>0</v>
      </c>
      <c r="P14" s="16">
        <f t="shared" si="6"/>
        <v>0</v>
      </c>
    </row>
    <row r="15" spans="1:17">
      <c r="B15" s="207">
        <v>7</v>
      </c>
      <c r="C15" s="205"/>
      <c r="D15" s="211"/>
      <c r="E15" s="211"/>
      <c r="F15" s="209" t="str">
        <f t="shared" si="4"/>
        <v/>
      </c>
      <c r="G15" s="207"/>
      <c r="H15" s="141"/>
      <c r="I15" s="210" t="str">
        <f t="shared" si="0"/>
        <v/>
      </c>
      <c r="J15" s="141"/>
      <c r="K15" s="210" t="str">
        <f t="shared" si="1"/>
        <v/>
      </c>
      <c r="L15" s="210" t="str">
        <f t="shared" si="2"/>
        <v/>
      </c>
      <c r="M15" s="210" t="str">
        <f t="shared" si="3"/>
        <v/>
      </c>
      <c r="O15" s="16">
        <f t="shared" si="5"/>
        <v>0</v>
      </c>
      <c r="P15" s="16">
        <f t="shared" si="6"/>
        <v>0</v>
      </c>
    </row>
    <row r="16" spans="1:17">
      <c r="B16" s="207">
        <v>8</v>
      </c>
      <c r="C16" s="205"/>
      <c r="D16" s="211"/>
      <c r="E16" s="211"/>
      <c r="F16" s="209" t="str">
        <f t="shared" si="4"/>
        <v/>
      </c>
      <c r="G16" s="207"/>
      <c r="H16" s="141"/>
      <c r="I16" s="210" t="str">
        <f t="shared" si="0"/>
        <v/>
      </c>
      <c r="J16" s="141"/>
      <c r="K16" s="210" t="str">
        <f t="shared" si="1"/>
        <v/>
      </c>
      <c r="L16" s="210" t="str">
        <f t="shared" si="2"/>
        <v/>
      </c>
      <c r="M16" s="210" t="str">
        <f t="shared" si="3"/>
        <v/>
      </c>
      <c r="O16" s="16">
        <f t="shared" si="5"/>
        <v>0</v>
      </c>
      <c r="P16" s="16">
        <f t="shared" si="6"/>
        <v>0</v>
      </c>
    </row>
    <row r="17" spans="2:16">
      <c r="B17" s="207">
        <v>9</v>
      </c>
      <c r="C17" s="205"/>
      <c r="D17" s="211"/>
      <c r="E17" s="211"/>
      <c r="F17" s="209" t="str">
        <f t="shared" si="4"/>
        <v/>
      </c>
      <c r="G17" s="207"/>
      <c r="H17" s="141"/>
      <c r="I17" s="210" t="str">
        <f t="shared" si="0"/>
        <v/>
      </c>
      <c r="J17" s="141"/>
      <c r="K17" s="210" t="str">
        <f t="shared" si="1"/>
        <v/>
      </c>
      <c r="L17" s="210" t="str">
        <f t="shared" si="2"/>
        <v/>
      </c>
      <c r="M17" s="210" t="str">
        <f t="shared" si="3"/>
        <v/>
      </c>
      <c r="O17" s="16">
        <f t="shared" si="5"/>
        <v>0</v>
      </c>
      <c r="P17" s="16">
        <f t="shared" si="6"/>
        <v>0</v>
      </c>
    </row>
    <row r="18" spans="2:16">
      <c r="B18" s="207">
        <v>10</v>
      </c>
      <c r="C18" s="205"/>
      <c r="D18" s="211"/>
      <c r="E18" s="211"/>
      <c r="F18" s="209" t="str">
        <f t="shared" si="4"/>
        <v/>
      </c>
      <c r="G18" s="207"/>
      <c r="H18" s="141"/>
      <c r="I18" s="210"/>
      <c r="J18" s="141"/>
      <c r="K18" s="210"/>
      <c r="L18" s="210" t="str">
        <f t="shared" si="2"/>
        <v/>
      </c>
      <c r="M18" s="210" t="str">
        <f t="shared" si="3"/>
        <v/>
      </c>
      <c r="O18" s="16">
        <f t="shared" si="5"/>
        <v>0</v>
      </c>
      <c r="P18" s="16">
        <f t="shared" si="6"/>
        <v>0</v>
      </c>
    </row>
    <row r="19" spans="2:16">
      <c r="B19" s="207">
        <v>11</v>
      </c>
      <c r="C19" s="205"/>
      <c r="D19" s="211"/>
      <c r="E19" s="211"/>
      <c r="F19" s="209" t="str">
        <f t="shared" si="4"/>
        <v/>
      </c>
      <c r="G19" s="207"/>
      <c r="H19" s="141"/>
      <c r="I19" s="210" t="str">
        <f>IF(D19="","",(P19*H19/O19))</f>
        <v/>
      </c>
      <c r="J19" s="141"/>
      <c r="K19" s="210" t="str">
        <f>IF(D19="","",(P19*J19/O19))</f>
        <v/>
      </c>
      <c r="L19" s="210" t="str">
        <f t="shared" si="2"/>
        <v/>
      </c>
      <c r="M19" s="210" t="str">
        <f t="shared" si="3"/>
        <v/>
      </c>
      <c r="O19" s="16">
        <f t="shared" si="5"/>
        <v>0</v>
      </c>
      <c r="P19" s="16">
        <f t="shared" si="6"/>
        <v>0</v>
      </c>
    </row>
    <row r="20" spans="2:16" ht="13.8" thickBot="1">
      <c r="B20" s="11"/>
      <c r="C20" s="11"/>
      <c r="D20" s="12"/>
      <c r="E20" s="12"/>
      <c r="F20" s="12"/>
      <c r="G20" s="13"/>
      <c r="H20" s="11"/>
      <c r="I20" s="11"/>
      <c r="J20" s="11"/>
      <c r="K20" s="11"/>
      <c r="L20" s="11"/>
      <c r="M20" s="11"/>
    </row>
    <row r="21" spans="2:16">
      <c r="B21" s="313" t="s">
        <v>11</v>
      </c>
      <c r="C21" s="313"/>
      <c r="D21" s="313"/>
      <c r="E21" s="313"/>
      <c r="F21" s="313"/>
      <c r="G21" s="313"/>
      <c r="H21" s="313"/>
      <c r="I21" s="313"/>
      <c r="J21" s="313"/>
      <c r="K21" s="313"/>
      <c r="L21" s="313"/>
      <c r="M21" s="313"/>
    </row>
    <row r="22" spans="2:16" ht="56.25" customHeight="1" thickBot="1">
      <c r="B22" s="331"/>
      <c r="C22" s="331"/>
      <c r="D22" s="331"/>
      <c r="E22" s="331"/>
      <c r="F22" s="331"/>
      <c r="G22" s="331"/>
      <c r="H22" s="331"/>
      <c r="I22" s="331"/>
      <c r="J22" s="331"/>
      <c r="K22" s="331"/>
      <c r="L22" s="331"/>
      <c r="M22" s="331"/>
    </row>
    <row r="23" spans="2:16" ht="13.8" thickBot="1">
      <c r="B23" s="8"/>
      <c r="C23" s="8"/>
      <c r="D23" s="9"/>
      <c r="E23" s="9"/>
      <c r="F23" s="9"/>
      <c r="G23" s="10"/>
      <c r="H23" s="8"/>
      <c r="I23" s="8"/>
      <c r="J23" s="8"/>
      <c r="K23" s="8"/>
      <c r="L23" s="8"/>
      <c r="M23" s="8"/>
    </row>
    <row r="24" spans="2:16" ht="12.75" customHeight="1">
      <c r="B24" s="345" t="s">
        <v>307</v>
      </c>
      <c r="C24" s="341" t="s">
        <v>252</v>
      </c>
      <c r="D24" s="328" t="s">
        <v>303</v>
      </c>
      <c r="E24" s="329"/>
      <c r="F24" s="329"/>
      <c r="G24" s="329"/>
      <c r="H24" s="329"/>
      <c r="I24" s="329"/>
      <c r="J24" s="329"/>
      <c r="K24" s="330"/>
      <c r="L24" s="341" t="s">
        <v>279</v>
      </c>
      <c r="M24" s="348" t="s">
        <v>12</v>
      </c>
    </row>
    <row r="25" spans="2:16" ht="12.75" customHeight="1">
      <c r="B25" s="345"/>
      <c r="C25" s="341"/>
      <c r="D25" s="325" t="s">
        <v>295</v>
      </c>
      <c r="E25" s="326"/>
      <c r="F25" s="326"/>
      <c r="G25" s="327"/>
      <c r="H25" s="325" t="s">
        <v>296</v>
      </c>
      <c r="I25" s="326"/>
      <c r="J25" s="326"/>
      <c r="K25" s="327"/>
      <c r="L25" s="341"/>
      <c r="M25" s="348"/>
    </row>
    <row r="26" spans="2:16" ht="12.75" customHeight="1">
      <c r="B26" s="345"/>
      <c r="C26" s="341"/>
      <c r="D26" s="325" t="s">
        <v>294</v>
      </c>
      <c r="E26" s="326"/>
      <c r="F26" s="326"/>
      <c r="G26" s="327"/>
      <c r="H26" s="325" t="s">
        <v>294</v>
      </c>
      <c r="I26" s="326"/>
      <c r="J26" s="326"/>
      <c r="K26" s="327"/>
      <c r="L26" s="341"/>
      <c r="M26" s="348"/>
    </row>
    <row r="27" spans="2:16" ht="20.399999999999999">
      <c r="B27" s="346"/>
      <c r="C27" s="338"/>
      <c r="D27" s="325" t="s">
        <v>41</v>
      </c>
      <c r="E27" s="327"/>
      <c r="F27" s="63" t="s">
        <v>297</v>
      </c>
      <c r="G27" s="53" t="s">
        <v>278</v>
      </c>
      <c r="H27" s="364" t="s">
        <v>41</v>
      </c>
      <c r="I27" s="365"/>
      <c r="J27" s="53" t="s">
        <v>260</v>
      </c>
      <c r="K27" s="53" t="s">
        <v>278</v>
      </c>
      <c r="L27" s="338"/>
      <c r="M27" s="325"/>
    </row>
    <row r="28" spans="2:16" ht="21" customHeight="1">
      <c r="B28" s="57">
        <f>COUNT(H9:H19)</f>
        <v>0</v>
      </c>
      <c r="C28" s="138">
        <f>SUM(D9:D19)</f>
        <v>0</v>
      </c>
      <c r="D28" s="362"/>
      <c r="E28" s="363"/>
      <c r="F28" s="132"/>
      <c r="G28" s="119"/>
      <c r="H28" s="349"/>
      <c r="I28" s="350"/>
      <c r="J28" s="120"/>
      <c r="K28" s="119"/>
      <c r="L28" s="121"/>
      <c r="M28" s="122"/>
    </row>
    <row r="29" spans="2:16" ht="19.5" customHeight="1" thickBot="1">
      <c r="B29" s="351" t="s">
        <v>298</v>
      </c>
      <c r="C29" s="351"/>
      <c r="D29" s="351"/>
      <c r="E29" s="351"/>
      <c r="F29" s="351"/>
      <c r="G29" s="351"/>
      <c r="H29" s="351"/>
      <c r="I29" s="351"/>
      <c r="J29" s="351"/>
      <c r="K29" s="351"/>
      <c r="L29" s="351"/>
      <c r="M29" s="351"/>
    </row>
    <row r="30" spans="2:16" ht="9.9" customHeight="1" thickBot="1">
      <c r="B30" s="11"/>
      <c r="C30" s="332"/>
      <c r="D30" s="333"/>
      <c r="E30" s="333"/>
      <c r="F30" s="333"/>
      <c r="G30" s="333"/>
      <c r="H30" s="333"/>
      <c r="I30" s="333"/>
      <c r="J30" s="333"/>
      <c r="K30" s="333"/>
      <c r="L30" s="333"/>
      <c r="M30" s="11"/>
    </row>
    <row r="31" spans="2:16">
      <c r="B31" s="313" t="s">
        <v>35</v>
      </c>
      <c r="C31" s="313"/>
      <c r="D31" s="313"/>
      <c r="E31" s="313"/>
      <c r="F31" s="313"/>
      <c r="G31" s="313"/>
      <c r="H31" s="313"/>
      <c r="I31" s="313"/>
      <c r="J31" s="313"/>
      <c r="K31" s="313"/>
      <c r="L31" s="313"/>
      <c r="M31" s="313"/>
    </row>
    <row r="32" spans="2:16" ht="12.75" customHeight="1">
      <c r="B32" s="61"/>
      <c r="C32" s="61"/>
      <c r="D32" s="61"/>
      <c r="E32" s="61"/>
      <c r="F32" s="59"/>
      <c r="G32" s="54"/>
      <c r="H32" s="54"/>
      <c r="I32" s="107" t="s">
        <v>36</v>
      </c>
      <c r="J32" s="107"/>
      <c r="K32" s="107"/>
      <c r="L32" s="77">
        <f>COUNT(H9:H19)</f>
        <v>0</v>
      </c>
      <c r="M32" s="2"/>
    </row>
    <row r="33" spans="2:13" ht="12.75" customHeight="1">
      <c r="B33" s="62"/>
      <c r="C33" s="62"/>
      <c r="D33" s="62"/>
      <c r="E33" s="62"/>
      <c r="F33" s="59"/>
      <c r="G33" s="54"/>
      <c r="H33" s="54"/>
      <c r="I33" s="108" t="s">
        <v>37</v>
      </c>
      <c r="J33" s="108"/>
      <c r="K33" s="90"/>
      <c r="L33" s="78" t="e">
        <f>Stat_Ruido!T11</f>
        <v>#DIV/0!</v>
      </c>
      <c r="M33" s="14"/>
    </row>
    <row r="34" spans="2:13" ht="12.75" customHeight="1">
      <c r="B34" s="62"/>
      <c r="C34" s="62"/>
      <c r="D34" s="62"/>
      <c r="E34" s="62"/>
      <c r="F34" s="59"/>
      <c r="G34" s="54"/>
      <c r="H34" s="54"/>
      <c r="I34" s="108" t="s">
        <v>39</v>
      </c>
      <c r="J34" s="108"/>
      <c r="K34" s="90"/>
      <c r="L34" s="78" t="e">
        <f>Stat_Ruido!T13</f>
        <v>#DIV/0!</v>
      </c>
      <c r="M34" s="14"/>
    </row>
    <row r="35" spans="2:13" ht="12.75" customHeight="1">
      <c r="B35" s="62"/>
      <c r="C35" s="62"/>
      <c r="D35" s="62"/>
      <c r="E35" s="62"/>
      <c r="F35" s="59"/>
      <c r="G35" s="54"/>
      <c r="H35" s="54"/>
      <c r="I35" s="108" t="s">
        <v>38</v>
      </c>
      <c r="J35" s="108"/>
      <c r="K35" s="90"/>
      <c r="L35" s="78" t="e">
        <f>Stat_Ruido!T18</f>
        <v>#DIV/0!</v>
      </c>
      <c r="M35" s="14"/>
    </row>
    <row r="36" spans="2:13" ht="12.75" customHeight="1">
      <c r="B36" s="62"/>
      <c r="C36" s="62"/>
      <c r="D36" s="62"/>
      <c r="E36" s="62"/>
      <c r="F36" s="59"/>
      <c r="G36" s="54"/>
      <c r="H36" s="54"/>
      <c r="I36" s="108" t="s">
        <v>244</v>
      </c>
      <c r="J36" s="108"/>
      <c r="K36" s="90"/>
      <c r="L36" s="78" t="e">
        <f>Stat_Ruido!T19</f>
        <v>#DIV/0!</v>
      </c>
      <c r="M36" s="14"/>
    </row>
    <row r="37" spans="2:13" ht="12.75" customHeight="1">
      <c r="B37" s="62"/>
      <c r="C37" s="62"/>
      <c r="D37" s="62"/>
      <c r="E37" s="62"/>
      <c r="F37" s="59"/>
      <c r="G37" s="54"/>
      <c r="H37" s="54"/>
      <c r="I37" s="108" t="s">
        <v>40</v>
      </c>
      <c r="J37" s="108"/>
      <c r="K37" s="90"/>
      <c r="L37" s="78" t="e">
        <f>Stat_Ruido!T29</f>
        <v>#DIV/0!</v>
      </c>
      <c r="M37" s="14"/>
    </row>
    <row r="38" spans="2:13">
      <c r="B38" s="62"/>
      <c r="C38" s="62"/>
      <c r="D38" s="62"/>
      <c r="E38" s="62"/>
      <c r="F38" s="59"/>
      <c r="G38" s="54"/>
      <c r="H38" s="54"/>
      <c r="I38" s="347"/>
      <c r="J38" s="347"/>
      <c r="K38" s="54"/>
      <c r="L38" s="56"/>
      <c r="M38" s="14"/>
    </row>
    <row r="39" spans="2:13" ht="105.75" customHeight="1" thickBot="1">
      <c r="B39" s="7"/>
      <c r="C39" s="7"/>
      <c r="D39" s="7"/>
      <c r="E39" s="7"/>
      <c r="F39" s="335"/>
      <c r="G39" s="335"/>
      <c r="H39" s="51"/>
      <c r="I39" s="51"/>
      <c r="J39" s="51"/>
      <c r="K39" s="51"/>
      <c r="L39" s="51"/>
      <c r="M39" s="51"/>
    </row>
    <row r="40" spans="2:13" ht="9.9" customHeight="1" thickBot="1">
      <c r="B40" s="11"/>
      <c r="C40" s="11"/>
      <c r="D40" s="12"/>
      <c r="E40" s="12"/>
      <c r="F40" s="12"/>
      <c r="G40" s="13"/>
      <c r="H40" s="11"/>
      <c r="I40" s="11"/>
      <c r="J40" s="11"/>
      <c r="K40" s="11"/>
      <c r="L40" s="11"/>
      <c r="M40" s="11"/>
    </row>
    <row r="41" spans="2:13" ht="12.75" customHeight="1">
      <c r="B41" s="313" t="s">
        <v>282</v>
      </c>
      <c r="C41" s="313"/>
      <c r="D41" s="313"/>
      <c r="E41" s="313"/>
      <c r="F41" s="313"/>
      <c r="G41" s="313"/>
      <c r="H41" s="313"/>
      <c r="I41" s="313"/>
      <c r="J41" s="313"/>
      <c r="K41" s="313"/>
      <c r="L41" s="313"/>
      <c r="M41" s="313"/>
    </row>
    <row r="42" spans="2:13" ht="12.75" customHeight="1">
      <c r="B42" s="314" t="s">
        <v>280</v>
      </c>
      <c r="C42" s="314"/>
      <c r="D42" s="314"/>
      <c r="E42" s="315"/>
      <c r="F42" s="320" t="s">
        <v>245</v>
      </c>
      <c r="G42" s="315"/>
      <c r="H42" s="320" t="s">
        <v>251</v>
      </c>
      <c r="I42" s="314"/>
      <c r="J42" s="314"/>
      <c r="K42" s="314"/>
      <c r="L42" s="314"/>
      <c r="M42" s="315"/>
    </row>
    <row r="43" spans="2:13">
      <c r="B43" s="316"/>
      <c r="C43" s="316"/>
      <c r="D43" s="316"/>
      <c r="E43" s="317"/>
      <c r="F43" s="321"/>
      <c r="G43" s="317"/>
      <c r="H43" s="321"/>
      <c r="I43" s="316"/>
      <c r="J43" s="316"/>
      <c r="K43" s="316"/>
      <c r="L43" s="316"/>
      <c r="M43" s="317"/>
    </row>
    <row r="44" spans="2:13" ht="18.75" customHeight="1">
      <c r="B44" s="318"/>
      <c r="C44" s="318"/>
      <c r="D44" s="318"/>
      <c r="E44" s="319"/>
      <c r="F44" s="322"/>
      <c r="G44" s="323"/>
      <c r="H44" s="355"/>
      <c r="I44" s="318"/>
      <c r="J44" s="318"/>
      <c r="K44" s="318"/>
      <c r="L44" s="318"/>
      <c r="M44" s="319"/>
    </row>
    <row r="45" spans="2:13" ht="18" customHeight="1">
      <c r="B45" s="305"/>
      <c r="C45" s="305"/>
      <c r="D45" s="305"/>
      <c r="E45" s="306"/>
      <c r="F45" s="307"/>
      <c r="G45" s="308"/>
      <c r="H45" s="309"/>
      <c r="I45" s="305"/>
      <c r="J45" s="305"/>
      <c r="K45" s="305"/>
      <c r="L45" s="305"/>
      <c r="M45" s="306"/>
    </row>
    <row r="46" spans="2:13" ht="18" customHeight="1">
      <c r="B46" s="305"/>
      <c r="C46" s="305"/>
      <c r="D46" s="305"/>
      <c r="E46" s="306"/>
      <c r="F46" s="307"/>
      <c r="G46" s="308"/>
      <c r="H46" s="309"/>
      <c r="I46" s="305"/>
      <c r="J46" s="305"/>
      <c r="K46" s="305"/>
      <c r="L46" s="305"/>
      <c r="M46" s="306"/>
    </row>
    <row r="47" spans="2:13" ht="13.8" thickBot="1">
      <c r="B47" s="11"/>
      <c r="C47" s="11"/>
      <c r="D47" s="12"/>
      <c r="E47" s="12"/>
      <c r="F47" s="12"/>
      <c r="G47" s="13"/>
      <c r="H47" s="11"/>
      <c r="I47" s="11"/>
      <c r="J47" s="11"/>
      <c r="K47" s="11"/>
      <c r="L47" s="11"/>
      <c r="M47" s="11"/>
    </row>
    <row r="48" spans="2:13">
      <c r="B48" s="313" t="s">
        <v>281</v>
      </c>
      <c r="C48" s="313"/>
      <c r="D48" s="313"/>
      <c r="E48" s="313"/>
      <c r="F48" s="313"/>
      <c r="G48" s="313"/>
      <c r="H48" s="313"/>
      <c r="I48" s="313"/>
      <c r="J48" s="313"/>
      <c r="K48" s="313"/>
      <c r="L48" s="313"/>
      <c r="M48" s="313"/>
    </row>
    <row r="49" spans="1:13" ht="48" customHeight="1" thickBot="1">
      <c r="B49" s="312"/>
      <c r="C49" s="312"/>
      <c r="D49" s="312"/>
      <c r="E49" s="312"/>
      <c r="F49" s="312"/>
      <c r="G49" s="312"/>
      <c r="H49" s="312"/>
      <c r="I49" s="312"/>
      <c r="J49" s="312"/>
      <c r="K49" s="312"/>
      <c r="L49" s="312"/>
      <c r="M49" s="312"/>
    </row>
    <row r="50" spans="1:13">
      <c r="B50" s="313" t="s">
        <v>13</v>
      </c>
      <c r="C50" s="313"/>
      <c r="D50" s="313"/>
      <c r="E50" s="313"/>
      <c r="F50" s="313"/>
      <c r="G50" s="313"/>
      <c r="H50" s="313"/>
      <c r="I50" s="313"/>
      <c r="J50" s="313"/>
      <c r="K50" s="313"/>
      <c r="L50" s="313"/>
      <c r="M50" s="313"/>
    </row>
    <row r="51" spans="1:13" ht="48" customHeight="1" thickBot="1">
      <c r="A51" s="11"/>
      <c r="B51" s="310"/>
      <c r="C51" s="310"/>
      <c r="D51" s="310"/>
      <c r="E51" s="310"/>
      <c r="F51" s="310"/>
      <c r="G51" s="310"/>
      <c r="H51" s="310"/>
      <c r="I51" s="310"/>
      <c r="J51" s="310"/>
      <c r="K51" s="310"/>
      <c r="L51" s="310"/>
      <c r="M51" s="310"/>
    </row>
    <row r="52" spans="1:13" ht="12" customHeight="1">
      <c r="B52" s="313" t="s">
        <v>301</v>
      </c>
      <c r="C52" s="313"/>
      <c r="D52" s="313"/>
      <c r="E52" s="313"/>
      <c r="F52" s="313"/>
      <c r="G52" s="313"/>
      <c r="H52" s="313"/>
      <c r="I52" s="313"/>
      <c r="J52" s="313"/>
      <c r="K52" s="313"/>
      <c r="L52" s="313"/>
      <c r="M52" s="313"/>
    </row>
    <row r="53" spans="1:13" ht="46.5" customHeight="1" thickBot="1">
      <c r="B53" s="311"/>
      <c r="C53" s="311"/>
      <c r="D53" s="311"/>
      <c r="E53" s="311"/>
      <c r="F53" s="311"/>
      <c r="G53" s="311"/>
      <c r="H53" s="311"/>
      <c r="I53" s="311"/>
      <c r="J53" s="311"/>
      <c r="K53" s="311"/>
      <c r="L53" s="311"/>
      <c r="M53" s="311"/>
    </row>
    <row r="54" spans="1:13" ht="13.5" customHeight="1">
      <c r="B54" s="313" t="s">
        <v>302</v>
      </c>
      <c r="C54" s="313"/>
      <c r="D54" s="313"/>
      <c r="E54" s="313"/>
      <c r="F54" s="313"/>
      <c r="G54" s="313"/>
      <c r="H54" s="313"/>
      <c r="I54" s="313"/>
      <c r="J54" s="313"/>
      <c r="K54" s="313"/>
      <c r="L54" s="313"/>
      <c r="M54" s="313"/>
    </row>
    <row r="55" spans="1:13" ht="51" customHeight="1" thickBot="1">
      <c r="B55" s="310"/>
      <c r="C55" s="310"/>
      <c r="D55" s="310"/>
      <c r="E55" s="310"/>
      <c r="F55" s="310"/>
      <c r="G55" s="310"/>
      <c r="H55" s="310"/>
      <c r="I55" s="310"/>
      <c r="J55" s="310"/>
      <c r="K55" s="310"/>
      <c r="L55" s="310"/>
      <c r="M55" s="310"/>
    </row>
    <row r="56" spans="1:13">
      <c r="B56" s="313" t="s">
        <v>14</v>
      </c>
      <c r="C56" s="313"/>
      <c r="D56" s="313"/>
      <c r="E56" s="313"/>
      <c r="F56" s="313"/>
      <c r="G56" s="313"/>
      <c r="H56" s="313"/>
      <c r="I56" s="313"/>
      <c r="J56" s="313"/>
      <c r="K56" s="313"/>
      <c r="L56" s="313"/>
      <c r="M56" s="313"/>
    </row>
    <row r="57" spans="1:13" ht="12.75" customHeight="1">
      <c r="B57" s="326" t="s">
        <v>15</v>
      </c>
      <c r="C57" s="326"/>
      <c r="D57" s="326"/>
      <c r="E57" s="327"/>
      <c r="F57" s="325" t="s">
        <v>16</v>
      </c>
      <c r="G57" s="326"/>
      <c r="H57" s="326"/>
      <c r="I57" s="327"/>
      <c r="J57" s="325" t="s">
        <v>17</v>
      </c>
      <c r="K57" s="326"/>
      <c r="L57" s="326"/>
      <c r="M57" s="326"/>
    </row>
    <row r="58" spans="1:13" ht="51" customHeight="1" thickBot="1">
      <c r="B58" s="353"/>
      <c r="C58" s="353"/>
      <c r="D58" s="353"/>
      <c r="E58" s="354"/>
      <c r="F58" s="352"/>
      <c r="G58" s="353"/>
      <c r="H58" s="353"/>
      <c r="I58" s="354"/>
      <c r="J58" s="352"/>
      <c r="K58" s="353"/>
      <c r="L58" s="353"/>
      <c r="M58" s="353"/>
    </row>
    <row r="59" spans="1:13">
      <c r="B59" s="4"/>
      <c r="C59" s="4"/>
      <c r="D59" s="5"/>
      <c r="E59" s="5"/>
      <c r="F59" s="5"/>
      <c r="G59" s="6"/>
      <c r="H59" s="4"/>
      <c r="I59" s="4"/>
      <c r="J59" s="4"/>
      <c r="K59" s="4"/>
      <c r="L59" s="4"/>
      <c r="M59" s="4"/>
    </row>
  </sheetData>
  <mergeCells count="67">
    <mergeCell ref="B41:M41"/>
    <mergeCell ref="B31:M31"/>
    <mergeCell ref="D27:E27"/>
    <mergeCell ref="J2:L3"/>
    <mergeCell ref="M2:M3"/>
    <mergeCell ref="E2:I3"/>
    <mergeCell ref="D28:E28"/>
    <mergeCell ref="H27:I27"/>
    <mergeCell ref="F57:I57"/>
    <mergeCell ref="F58:I58"/>
    <mergeCell ref="B57:E57"/>
    <mergeCell ref="B58:E58"/>
    <mergeCell ref="J58:M58"/>
    <mergeCell ref="I38:J38"/>
    <mergeCell ref="M6:M8"/>
    <mergeCell ref="C6:C8"/>
    <mergeCell ref="F6:F8"/>
    <mergeCell ref="M24:M27"/>
    <mergeCell ref="H28:I28"/>
    <mergeCell ref="C24:C27"/>
    <mergeCell ref="B29:M29"/>
    <mergeCell ref="J6:K6"/>
    <mergeCell ref="C30:L30"/>
    <mergeCell ref="L4:M4"/>
    <mergeCell ref="F39:G39"/>
    <mergeCell ref="J57:M57"/>
    <mergeCell ref="B48:M48"/>
    <mergeCell ref="B50:M50"/>
    <mergeCell ref="B56:M56"/>
    <mergeCell ref="B5:C5"/>
    <mergeCell ref="D5:M5"/>
    <mergeCell ref="B21:M21"/>
    <mergeCell ref="B6:B8"/>
    <mergeCell ref="D6:D8"/>
    <mergeCell ref="E6:E8"/>
    <mergeCell ref="G6:G8"/>
    <mergeCell ref="L6:L8"/>
    <mergeCell ref="L24:L27"/>
    <mergeCell ref="B4:C4"/>
    <mergeCell ref="D26:G26"/>
    <mergeCell ref="D25:G25"/>
    <mergeCell ref="H25:K25"/>
    <mergeCell ref="D24:K24"/>
    <mergeCell ref="H26:K26"/>
    <mergeCell ref="H7:I7"/>
    <mergeCell ref="J7:K7"/>
    <mergeCell ref="B22:M22"/>
    <mergeCell ref="H6:I6"/>
    <mergeCell ref="B24:B27"/>
    <mergeCell ref="B55:M55"/>
    <mergeCell ref="B49:M49"/>
    <mergeCell ref="B52:M52"/>
    <mergeCell ref="B42:E43"/>
    <mergeCell ref="B44:E44"/>
    <mergeCell ref="B45:E45"/>
    <mergeCell ref="F42:G43"/>
    <mergeCell ref="F44:G44"/>
    <mergeCell ref="F45:G45"/>
    <mergeCell ref="H42:M43"/>
    <mergeCell ref="B54:M54"/>
    <mergeCell ref="H44:M44"/>
    <mergeCell ref="H45:M45"/>
    <mergeCell ref="B46:E46"/>
    <mergeCell ref="F46:G46"/>
    <mergeCell ref="H46:M46"/>
    <mergeCell ref="B51:M51"/>
    <mergeCell ref="B53:M53"/>
  </mergeCells>
  <phoneticPr fontId="2" type="noConversion"/>
  <printOptions horizontalCentered="1"/>
  <pageMargins left="0.39370078740157483" right="0.39370078740157483" top="0.51181102362204722" bottom="0.51181102362204722" header="0.51181102362204722" footer="0.51181102362204722"/>
  <pageSetup paperSize="9" orientation="portrait" r:id="rId1"/>
  <headerFooter alignWithMargins="0">
    <oddFooter>&amp;RRevisão: 00          
11.06.2012</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X416"/>
  <sheetViews>
    <sheetView topLeftCell="A7" zoomScale="75" workbookViewId="0">
      <selection activeCell="B15" sqref="B15"/>
    </sheetView>
  </sheetViews>
  <sheetFormatPr defaultColWidth="11.44140625" defaultRowHeight="13.2"/>
  <cols>
    <col min="1" max="1" width="11.88671875" style="28" customWidth="1"/>
    <col min="2" max="2" width="5.33203125" style="28" customWidth="1"/>
    <col min="3" max="8" width="0" style="29" hidden="1" customWidth="1"/>
    <col min="9" max="9" width="12.44140625" style="29" hidden="1" customWidth="1"/>
    <col min="10" max="10" width="8.109375" style="29" hidden="1" customWidth="1"/>
    <col min="11" max="17" width="0" style="29" hidden="1" customWidth="1"/>
    <col min="18" max="18" width="24.88671875" style="29" hidden="1" customWidth="1"/>
    <col min="19" max="19" width="21.44140625" style="30" customWidth="1"/>
    <col min="20" max="20" width="11.109375" style="28" customWidth="1"/>
    <col min="21" max="21" width="11.44140625" style="28" customWidth="1"/>
    <col min="22" max="22" width="10.5546875" style="28" customWidth="1"/>
    <col min="23" max="16384" width="11.44140625" style="28"/>
  </cols>
  <sheetData>
    <row r="1" spans="1:20" s="18" customFormat="1" ht="18">
      <c r="A1" s="17" t="s">
        <v>44</v>
      </c>
      <c r="C1" s="19"/>
      <c r="D1" s="19"/>
      <c r="E1" s="19"/>
      <c r="F1" s="19"/>
      <c r="G1" s="19"/>
      <c r="H1" s="19"/>
      <c r="I1" s="19"/>
      <c r="J1" s="19"/>
      <c r="K1" s="19"/>
      <c r="L1" s="19"/>
      <c r="M1" s="19"/>
      <c r="N1" s="19"/>
      <c r="O1" s="19"/>
      <c r="P1" s="19"/>
      <c r="Q1" s="19"/>
      <c r="R1" s="19"/>
      <c r="S1" s="20"/>
      <c r="T1" s="21"/>
    </row>
    <row r="2" spans="1:20" s="23" customFormat="1" ht="15.6">
      <c r="A2" s="22" t="s">
        <v>45</v>
      </c>
      <c r="C2" s="24"/>
      <c r="D2" s="24"/>
      <c r="E2" s="24"/>
      <c r="F2" s="24"/>
      <c r="G2" s="24"/>
      <c r="H2" s="24"/>
      <c r="I2" s="24"/>
      <c r="J2" s="24"/>
      <c r="K2" s="24"/>
      <c r="L2" s="24"/>
      <c r="M2" s="24"/>
      <c r="N2" s="24"/>
      <c r="O2" s="24"/>
      <c r="P2" s="24"/>
      <c r="Q2" s="24"/>
      <c r="R2" s="24"/>
      <c r="S2" s="25"/>
      <c r="T2" s="26"/>
    </row>
    <row r="3" spans="1:20" s="23" customFormat="1" ht="15.6">
      <c r="A3" s="22" t="s">
        <v>46</v>
      </c>
      <c r="C3" s="24"/>
      <c r="D3" s="24"/>
      <c r="E3" s="24"/>
      <c r="F3" s="24"/>
      <c r="G3" s="24"/>
      <c r="H3" s="24"/>
      <c r="I3" s="24"/>
      <c r="J3" s="24"/>
      <c r="K3" s="24"/>
      <c r="L3" s="24"/>
      <c r="M3" s="24"/>
      <c r="N3" s="24"/>
      <c r="O3" s="24"/>
      <c r="P3" s="24"/>
      <c r="Q3" s="24"/>
      <c r="R3" s="24"/>
      <c r="S3" s="25"/>
      <c r="T3" s="26"/>
    </row>
    <row r="4" spans="1:20">
      <c r="A4" s="27" t="s">
        <v>47</v>
      </c>
    </row>
    <row r="5" spans="1:20" ht="13.8" thickBot="1">
      <c r="A5" s="27"/>
    </row>
    <row r="6" spans="1:20" ht="14.4" thickTop="1" thickBot="1">
      <c r="A6" s="31" t="s">
        <v>48</v>
      </c>
      <c r="B6" s="32">
        <v>100</v>
      </c>
    </row>
    <row r="7" spans="1:20" ht="13.8" thickTop="1">
      <c r="A7" s="27"/>
      <c r="C7" s="28"/>
      <c r="D7" s="28"/>
      <c r="E7" s="28"/>
      <c r="F7" s="28"/>
      <c r="G7" s="28"/>
      <c r="H7" s="28"/>
      <c r="I7" s="28"/>
      <c r="J7" s="28"/>
      <c r="K7" s="28"/>
      <c r="L7" s="28"/>
      <c r="M7" s="28"/>
      <c r="N7" s="28"/>
      <c r="O7" s="28"/>
      <c r="P7" s="28"/>
      <c r="Q7" s="28"/>
      <c r="R7" s="28"/>
    </row>
    <row r="8" spans="1:20" ht="13.8" thickBot="1">
      <c r="A8" s="27"/>
      <c r="D8" s="29" t="s">
        <v>49</v>
      </c>
      <c r="F8" s="29" t="s">
        <v>50</v>
      </c>
      <c r="H8" s="29" t="s">
        <v>51</v>
      </c>
      <c r="I8" s="29" t="s">
        <v>52</v>
      </c>
    </row>
    <row r="9" spans="1:20" ht="13.8" thickTop="1">
      <c r="A9" s="33" t="s">
        <v>53</v>
      </c>
      <c r="C9" s="29" t="s">
        <v>54</v>
      </c>
      <c r="D9" s="29" t="s">
        <v>55</v>
      </c>
      <c r="E9" s="29" t="s">
        <v>56</v>
      </c>
      <c r="F9" s="29" t="s">
        <v>55</v>
      </c>
      <c r="G9" s="29" t="s">
        <v>56</v>
      </c>
      <c r="H9" s="29" t="s">
        <v>57</v>
      </c>
      <c r="I9" s="29" t="s">
        <v>58</v>
      </c>
      <c r="J9" s="29" t="s">
        <v>59</v>
      </c>
      <c r="K9" s="29" t="s">
        <v>60</v>
      </c>
      <c r="M9" s="29" t="s">
        <v>61</v>
      </c>
      <c r="N9" s="29" t="s">
        <v>62</v>
      </c>
      <c r="S9" s="34" t="s">
        <v>63</v>
      </c>
    </row>
    <row r="10" spans="1:20">
      <c r="A10" s="35" t="str">
        <f>IF(Ruido!H9="","",Ruido!H9)</f>
        <v/>
      </c>
      <c r="C10" s="29" t="e">
        <f t="shared" ref="C10:C41" si="0">K74</f>
        <v>#VALUE!</v>
      </c>
      <c r="D10" s="36">
        <f t="shared" ref="D10:D22" si="1">$D$84</f>
        <v>0</v>
      </c>
      <c r="E10" s="29">
        <f>2.33 + 5</f>
        <v>7.33</v>
      </c>
      <c r="F10" s="29">
        <f t="shared" ref="F10:F22" si="2">CEILING($T$17,5)</f>
        <v>0</v>
      </c>
      <c r="G10" s="29">
        <f t="shared" ref="G10:G22" si="3">E10</f>
        <v>7.33</v>
      </c>
      <c r="H10" s="29" t="b">
        <f t="shared" ref="H10:H41" si="4">IF(ISNUMBER(N74),N74)</f>
        <v>0</v>
      </c>
      <c r="I10" s="29" t="b">
        <f t="shared" ref="I10:I41" si="5">IF(ISNUMBER(O74),O74)</f>
        <v>0</v>
      </c>
      <c r="J10" s="29">
        <f t="shared" ref="J10:J41" si="6">IF(A10&gt;$B$6,1,0)</f>
        <v>1</v>
      </c>
      <c r="K10" s="29" t="b">
        <f t="shared" ref="K10:K41" si="7">IF(ISNUMBER(N74),LN(N74))</f>
        <v>0</v>
      </c>
      <c r="M10" s="37" t="b">
        <f t="shared" ref="M10:M41" si="8">IF(ISNUMBER(A10),(A10-$T$11)^2)</f>
        <v>0</v>
      </c>
      <c r="N10" s="29" t="b">
        <f t="shared" ref="N10:N41" si="9">IF(ISNUMBER(K10),(K10-$T$20)^2)</f>
        <v>0</v>
      </c>
      <c r="S10" s="30" t="s">
        <v>64</v>
      </c>
      <c r="T10" s="38">
        <f>COUNT(A10:A60)</f>
        <v>0</v>
      </c>
    </row>
    <row r="11" spans="1:20">
      <c r="A11" s="35" t="str">
        <f>IF(Ruido!H10="","",Ruido!H10)</f>
        <v/>
      </c>
      <c r="C11" s="29" t="e">
        <f t="shared" si="0"/>
        <v>#VALUE!</v>
      </c>
      <c r="D11" s="36">
        <f t="shared" si="1"/>
        <v>0</v>
      </c>
      <c r="E11" s="29">
        <f>5+2.05</f>
        <v>7.05</v>
      </c>
      <c r="F11" s="29">
        <f t="shared" si="2"/>
        <v>0</v>
      </c>
      <c r="G11" s="29">
        <f t="shared" si="3"/>
        <v>7.05</v>
      </c>
      <c r="H11" s="29" t="b">
        <f t="shared" si="4"/>
        <v>0</v>
      </c>
      <c r="I11" s="29" t="b">
        <f t="shared" si="5"/>
        <v>0</v>
      </c>
      <c r="J11" s="29">
        <f t="shared" si="6"/>
        <v>1</v>
      </c>
      <c r="K11" s="29" t="b">
        <f t="shared" si="7"/>
        <v>0</v>
      </c>
      <c r="M11" s="37" t="b">
        <f t="shared" si="8"/>
        <v>0</v>
      </c>
      <c r="N11" s="29" t="b">
        <f t="shared" si="9"/>
        <v>0</v>
      </c>
      <c r="S11" s="30" t="s">
        <v>65</v>
      </c>
      <c r="T11" s="38" t="e">
        <f>AVERAGE(A10:A60)</f>
        <v>#DIV/0!</v>
      </c>
    </row>
    <row r="12" spans="1:20">
      <c r="A12" s="35" t="str">
        <f>IF(Ruido!H11="","",Ruido!H11)</f>
        <v/>
      </c>
      <c r="C12" s="29" t="e">
        <f t="shared" si="0"/>
        <v>#VALUE!</v>
      </c>
      <c r="D12" s="36">
        <f t="shared" si="1"/>
        <v>0</v>
      </c>
      <c r="E12" s="29">
        <f>5+1.645</f>
        <v>6.6449999999999996</v>
      </c>
      <c r="F12" s="29">
        <f t="shared" si="2"/>
        <v>0</v>
      </c>
      <c r="G12" s="29">
        <f t="shared" si="3"/>
        <v>6.6449999999999996</v>
      </c>
      <c r="H12" s="29" t="b">
        <f t="shared" si="4"/>
        <v>0</v>
      </c>
      <c r="I12" s="29" t="b">
        <f t="shared" si="5"/>
        <v>0</v>
      </c>
      <c r="J12" s="29">
        <f t="shared" si="6"/>
        <v>1</v>
      </c>
      <c r="K12" s="29" t="b">
        <f t="shared" si="7"/>
        <v>0</v>
      </c>
      <c r="M12" s="37" t="b">
        <f t="shared" si="8"/>
        <v>0</v>
      </c>
      <c r="N12" s="29" t="b">
        <f t="shared" si="9"/>
        <v>0</v>
      </c>
      <c r="S12" s="30" t="s">
        <v>66</v>
      </c>
      <c r="T12" s="38" t="e">
        <f>MEDIAN(A10:A60)</f>
        <v>#NUM!</v>
      </c>
    </row>
    <row r="13" spans="1:20">
      <c r="A13" s="35" t="str">
        <f>IF(Ruido!H12="","",Ruido!H12)</f>
        <v/>
      </c>
      <c r="C13" s="29" t="e">
        <f t="shared" si="0"/>
        <v>#VALUE!</v>
      </c>
      <c r="D13" s="36">
        <f t="shared" si="1"/>
        <v>0</v>
      </c>
      <c r="E13" s="29">
        <f>5+1.28</f>
        <v>6.28</v>
      </c>
      <c r="F13" s="29">
        <f t="shared" si="2"/>
        <v>0</v>
      </c>
      <c r="G13" s="29">
        <f t="shared" si="3"/>
        <v>6.28</v>
      </c>
      <c r="H13" s="29" t="b">
        <f t="shared" si="4"/>
        <v>0</v>
      </c>
      <c r="I13" s="29" t="b">
        <f t="shared" si="5"/>
        <v>0</v>
      </c>
      <c r="J13" s="29">
        <f t="shared" si="6"/>
        <v>1</v>
      </c>
      <c r="K13" s="29" t="b">
        <f t="shared" si="7"/>
        <v>0</v>
      </c>
      <c r="M13" s="37" t="b">
        <f t="shared" si="8"/>
        <v>0</v>
      </c>
      <c r="N13" s="29" t="b">
        <f t="shared" si="9"/>
        <v>0</v>
      </c>
      <c r="S13" s="30" t="s">
        <v>67</v>
      </c>
      <c r="T13" s="38" t="e">
        <f>STDEV(A10:A60)</f>
        <v>#DIV/0!</v>
      </c>
    </row>
    <row r="14" spans="1:20">
      <c r="A14" s="35" t="str">
        <f>IF(Ruido!H13="","",Ruido!H13)</f>
        <v/>
      </c>
      <c r="C14" s="29" t="e">
        <f t="shared" si="0"/>
        <v>#VALUE!</v>
      </c>
      <c r="D14" s="36">
        <f t="shared" si="1"/>
        <v>0</v>
      </c>
      <c r="E14" s="29">
        <f>5+1</f>
        <v>6</v>
      </c>
      <c r="F14" s="29">
        <f t="shared" si="2"/>
        <v>0</v>
      </c>
      <c r="G14" s="29">
        <f t="shared" si="3"/>
        <v>6</v>
      </c>
      <c r="H14" s="29" t="b">
        <f t="shared" si="4"/>
        <v>0</v>
      </c>
      <c r="I14" s="29" t="b">
        <f t="shared" si="5"/>
        <v>0</v>
      </c>
      <c r="J14" s="29">
        <f t="shared" si="6"/>
        <v>1</v>
      </c>
      <c r="K14" s="29" t="b">
        <f t="shared" si="7"/>
        <v>0</v>
      </c>
      <c r="M14" s="37" t="b">
        <f t="shared" si="8"/>
        <v>0</v>
      </c>
      <c r="N14" s="29" t="b">
        <f t="shared" si="9"/>
        <v>0</v>
      </c>
      <c r="S14" s="28" t="s">
        <v>68</v>
      </c>
      <c r="T14" s="28" t="e">
        <f>T13/T11</f>
        <v>#DIV/0!</v>
      </c>
    </row>
    <row r="15" spans="1:20">
      <c r="A15" s="35" t="str">
        <f>IF(Ruido!H14="","",Ruido!H14)</f>
        <v/>
      </c>
      <c r="C15" s="29" t="e">
        <f t="shared" si="0"/>
        <v>#VALUE!</v>
      </c>
      <c r="D15" s="36">
        <f t="shared" si="1"/>
        <v>0</v>
      </c>
      <c r="E15" s="29">
        <f>5+0.67</f>
        <v>5.67</v>
      </c>
      <c r="F15" s="29">
        <f t="shared" si="2"/>
        <v>0</v>
      </c>
      <c r="G15" s="29">
        <f t="shared" si="3"/>
        <v>5.67</v>
      </c>
      <c r="H15" s="29" t="b">
        <f t="shared" si="4"/>
        <v>0</v>
      </c>
      <c r="I15" s="29" t="b">
        <f t="shared" si="5"/>
        <v>0</v>
      </c>
      <c r="J15" s="29">
        <f t="shared" si="6"/>
        <v>1</v>
      </c>
      <c r="K15" s="29" t="b">
        <f t="shared" si="7"/>
        <v>0</v>
      </c>
      <c r="M15" s="37" t="b">
        <f t="shared" si="8"/>
        <v>0</v>
      </c>
      <c r="N15" s="29" t="b">
        <f t="shared" si="9"/>
        <v>0</v>
      </c>
      <c r="S15" s="30" t="s">
        <v>69</v>
      </c>
      <c r="T15" s="38">
        <f>T17-T16</f>
        <v>0</v>
      </c>
    </row>
    <row r="16" spans="1:20">
      <c r="A16" s="35" t="str">
        <f>IF(Ruido!H19="","",Ruido!H19)</f>
        <v/>
      </c>
      <c r="C16" s="29" t="e">
        <f t="shared" si="0"/>
        <v>#VALUE!</v>
      </c>
      <c r="D16" s="36">
        <f t="shared" si="1"/>
        <v>0</v>
      </c>
      <c r="E16" s="29">
        <f>5+0</f>
        <v>5</v>
      </c>
      <c r="F16" s="29">
        <f t="shared" si="2"/>
        <v>0</v>
      </c>
      <c r="G16" s="29">
        <f t="shared" si="3"/>
        <v>5</v>
      </c>
      <c r="H16" s="29" t="b">
        <f t="shared" si="4"/>
        <v>0</v>
      </c>
      <c r="I16" s="29" t="b">
        <f t="shared" si="5"/>
        <v>0</v>
      </c>
      <c r="J16" s="29">
        <f t="shared" si="6"/>
        <v>1</v>
      </c>
      <c r="K16" s="29" t="b">
        <f t="shared" si="7"/>
        <v>0</v>
      </c>
      <c r="M16" s="37" t="b">
        <f t="shared" si="8"/>
        <v>0</v>
      </c>
      <c r="N16" s="29" t="b">
        <f t="shared" si="9"/>
        <v>0</v>
      </c>
      <c r="S16" s="30" t="s">
        <v>70</v>
      </c>
      <c r="T16" s="38">
        <f>MIN(A10:A60)</f>
        <v>0</v>
      </c>
    </row>
    <row r="17" spans="1:20">
      <c r="A17" s="35"/>
      <c r="C17" s="29" t="e">
        <f t="shared" si="0"/>
        <v>#N/A</v>
      </c>
      <c r="D17" s="36">
        <f t="shared" si="1"/>
        <v>0</v>
      </c>
      <c r="E17" s="29">
        <f>5+-0.67</f>
        <v>4.33</v>
      </c>
      <c r="F17" s="29">
        <f t="shared" si="2"/>
        <v>0</v>
      </c>
      <c r="G17" s="29">
        <f t="shared" si="3"/>
        <v>4.33</v>
      </c>
      <c r="H17" s="29" t="b">
        <f t="shared" si="4"/>
        <v>0</v>
      </c>
      <c r="I17" s="29" t="b">
        <f t="shared" si="5"/>
        <v>0</v>
      </c>
      <c r="J17" s="29">
        <f t="shared" si="6"/>
        <v>0</v>
      </c>
      <c r="K17" s="29" t="b">
        <f t="shared" si="7"/>
        <v>0</v>
      </c>
      <c r="M17" s="37" t="b">
        <f t="shared" si="8"/>
        <v>0</v>
      </c>
      <c r="N17" s="29" t="b">
        <f t="shared" si="9"/>
        <v>0</v>
      </c>
      <c r="S17" s="30" t="s">
        <v>71</v>
      </c>
      <c r="T17" s="38">
        <f>MAX(A10:A60)</f>
        <v>0</v>
      </c>
    </row>
    <row r="18" spans="1:20">
      <c r="A18" s="35"/>
      <c r="C18" s="29" t="e">
        <f t="shared" si="0"/>
        <v>#N/A</v>
      </c>
      <c r="D18" s="36">
        <f t="shared" si="1"/>
        <v>0</v>
      </c>
      <c r="E18" s="29">
        <f>5+-1</f>
        <v>4</v>
      </c>
      <c r="F18" s="29">
        <f t="shared" si="2"/>
        <v>0</v>
      </c>
      <c r="G18" s="29">
        <f t="shared" si="3"/>
        <v>4</v>
      </c>
      <c r="H18" s="29" t="b">
        <f t="shared" si="4"/>
        <v>0</v>
      </c>
      <c r="I18" s="29" t="b">
        <f t="shared" si="5"/>
        <v>0</v>
      </c>
      <c r="J18" s="29">
        <f t="shared" si="6"/>
        <v>0</v>
      </c>
      <c r="K18" s="29" t="b">
        <f t="shared" si="7"/>
        <v>0</v>
      </c>
      <c r="M18" s="37" t="b">
        <f t="shared" si="8"/>
        <v>0</v>
      </c>
      <c r="N18" s="29" t="b">
        <f t="shared" si="9"/>
        <v>0</v>
      </c>
      <c r="S18" s="30" t="s">
        <v>72</v>
      </c>
      <c r="T18" s="38" t="e">
        <f>EXP(AVERAGE(K10:K60))</f>
        <v>#DIV/0!</v>
      </c>
    </row>
    <row r="19" spans="1:20">
      <c r="A19" s="35"/>
      <c r="C19" s="29" t="e">
        <f t="shared" si="0"/>
        <v>#N/A</v>
      </c>
      <c r="D19" s="36">
        <f t="shared" si="1"/>
        <v>0</v>
      </c>
      <c r="E19" s="29">
        <f>5+-1.28</f>
        <v>3.7199999999999998</v>
      </c>
      <c r="F19" s="29">
        <f t="shared" si="2"/>
        <v>0</v>
      </c>
      <c r="G19" s="29">
        <f t="shared" si="3"/>
        <v>3.7199999999999998</v>
      </c>
      <c r="H19" s="29" t="b">
        <f t="shared" si="4"/>
        <v>0</v>
      </c>
      <c r="I19" s="29" t="b">
        <f t="shared" si="5"/>
        <v>0</v>
      </c>
      <c r="J19" s="29">
        <f t="shared" si="6"/>
        <v>0</v>
      </c>
      <c r="K19" s="29" t="b">
        <f t="shared" si="7"/>
        <v>0</v>
      </c>
      <c r="M19" s="37" t="b">
        <f t="shared" si="8"/>
        <v>0</v>
      </c>
      <c r="N19" s="29" t="b">
        <f t="shared" si="9"/>
        <v>0</v>
      </c>
      <c r="S19" s="30" t="s">
        <v>73</v>
      </c>
      <c r="T19" s="38" t="e">
        <f>EXP(STDEV(K10:K60))</f>
        <v>#DIV/0!</v>
      </c>
    </row>
    <row r="20" spans="1:20">
      <c r="A20" s="35"/>
      <c r="C20" s="29" t="e">
        <f t="shared" si="0"/>
        <v>#N/A</v>
      </c>
      <c r="D20" s="36">
        <f t="shared" si="1"/>
        <v>0</v>
      </c>
      <c r="E20" s="29">
        <f>5+-1.645</f>
        <v>3.355</v>
      </c>
      <c r="F20" s="29">
        <f t="shared" si="2"/>
        <v>0</v>
      </c>
      <c r="G20" s="29">
        <f t="shared" si="3"/>
        <v>3.355</v>
      </c>
      <c r="H20" s="29" t="b">
        <f t="shared" si="4"/>
        <v>0</v>
      </c>
      <c r="I20" s="29" t="b">
        <f t="shared" si="5"/>
        <v>0</v>
      </c>
      <c r="J20" s="29">
        <f t="shared" si="6"/>
        <v>0</v>
      </c>
      <c r="K20" s="29" t="b">
        <f t="shared" si="7"/>
        <v>0</v>
      </c>
      <c r="M20" s="37" t="b">
        <f t="shared" si="8"/>
        <v>0</v>
      </c>
      <c r="N20" s="29" t="b">
        <f t="shared" si="9"/>
        <v>0</v>
      </c>
      <c r="S20" s="30" t="s">
        <v>74</v>
      </c>
      <c r="T20" s="38" t="e">
        <f>(AVERAGE(K10:K60))</f>
        <v>#DIV/0!</v>
      </c>
    </row>
    <row r="21" spans="1:20">
      <c r="A21" s="35"/>
      <c r="C21" s="29" t="e">
        <f t="shared" si="0"/>
        <v>#N/A</v>
      </c>
      <c r="D21" s="36">
        <f t="shared" si="1"/>
        <v>0</v>
      </c>
      <c r="E21" s="29">
        <f>5+-2.05</f>
        <v>2.95</v>
      </c>
      <c r="F21" s="29">
        <f t="shared" si="2"/>
        <v>0</v>
      </c>
      <c r="G21" s="29">
        <f t="shared" si="3"/>
        <v>2.95</v>
      </c>
      <c r="H21" s="29" t="b">
        <f t="shared" si="4"/>
        <v>0</v>
      </c>
      <c r="I21" s="29" t="b">
        <f t="shared" si="5"/>
        <v>0</v>
      </c>
      <c r="J21" s="29">
        <f t="shared" si="6"/>
        <v>0</v>
      </c>
      <c r="K21" s="29" t="b">
        <f t="shared" si="7"/>
        <v>0</v>
      </c>
      <c r="M21" s="37" t="b">
        <f t="shared" si="8"/>
        <v>0</v>
      </c>
      <c r="N21" s="29" t="b">
        <f t="shared" si="9"/>
        <v>0</v>
      </c>
      <c r="S21" s="30" t="s">
        <v>75</v>
      </c>
      <c r="T21" s="38" t="e">
        <f>(STDEV(K10:K60))</f>
        <v>#DIV/0!</v>
      </c>
    </row>
    <row r="22" spans="1:20">
      <c r="A22" s="35"/>
      <c r="C22" s="29" t="e">
        <f t="shared" si="0"/>
        <v>#N/A</v>
      </c>
      <c r="D22" s="36">
        <f t="shared" si="1"/>
        <v>0</v>
      </c>
      <c r="E22" s="29">
        <f>5+-2.33</f>
        <v>2.67</v>
      </c>
      <c r="F22" s="29">
        <f t="shared" si="2"/>
        <v>0</v>
      </c>
      <c r="G22" s="29">
        <f t="shared" si="3"/>
        <v>2.67</v>
      </c>
      <c r="H22" s="29" t="b">
        <f t="shared" si="4"/>
        <v>0</v>
      </c>
      <c r="I22" s="29" t="b">
        <f t="shared" si="5"/>
        <v>0</v>
      </c>
      <c r="J22" s="29">
        <f t="shared" si="6"/>
        <v>0</v>
      </c>
      <c r="K22" s="29" t="b">
        <f t="shared" si="7"/>
        <v>0</v>
      </c>
      <c r="M22" s="37" t="b">
        <f t="shared" si="8"/>
        <v>0</v>
      </c>
      <c r="N22" s="29" t="b">
        <f t="shared" si="9"/>
        <v>0</v>
      </c>
      <c r="S22" s="30" t="s">
        <v>76</v>
      </c>
      <c r="T22" s="38" t="e">
        <f>(SUM(J10:J60)/T10)*100</f>
        <v>#DIV/0!</v>
      </c>
    </row>
    <row r="23" spans="1:20">
      <c r="A23" s="35"/>
      <c r="C23" s="29" t="e">
        <f t="shared" si="0"/>
        <v>#N/A</v>
      </c>
      <c r="H23" s="29" t="b">
        <f t="shared" si="4"/>
        <v>0</v>
      </c>
      <c r="I23" s="29" t="b">
        <f t="shared" si="5"/>
        <v>0</v>
      </c>
      <c r="J23" s="29">
        <f t="shared" si="6"/>
        <v>0</v>
      </c>
      <c r="K23" s="29" t="b">
        <f t="shared" si="7"/>
        <v>0</v>
      </c>
      <c r="M23" s="37" t="b">
        <f t="shared" si="8"/>
        <v>0</v>
      </c>
      <c r="N23" s="29" t="b">
        <f t="shared" si="9"/>
        <v>0</v>
      </c>
      <c r="S23" s="28"/>
    </row>
    <row r="24" spans="1:20">
      <c r="A24" s="35"/>
      <c r="C24" s="29" t="e">
        <f t="shared" si="0"/>
        <v>#N/A</v>
      </c>
      <c r="H24" s="29" t="b">
        <f t="shared" si="4"/>
        <v>0</v>
      </c>
      <c r="I24" s="29" t="b">
        <f t="shared" si="5"/>
        <v>0</v>
      </c>
      <c r="J24" s="29">
        <f t="shared" si="6"/>
        <v>0</v>
      </c>
      <c r="K24" s="29" t="b">
        <f t="shared" si="7"/>
        <v>0</v>
      </c>
      <c r="M24" s="37" t="b">
        <f t="shared" si="8"/>
        <v>0</v>
      </c>
      <c r="N24" s="29" t="b">
        <f t="shared" si="9"/>
        <v>0</v>
      </c>
      <c r="S24" s="28"/>
    </row>
    <row r="25" spans="1:20">
      <c r="A25" s="35"/>
      <c r="C25" s="29" t="e">
        <f t="shared" si="0"/>
        <v>#N/A</v>
      </c>
      <c r="H25" s="29" t="b">
        <f t="shared" si="4"/>
        <v>0</v>
      </c>
      <c r="I25" s="29" t="b">
        <f t="shared" si="5"/>
        <v>0</v>
      </c>
      <c r="J25" s="29">
        <f t="shared" si="6"/>
        <v>0</v>
      </c>
      <c r="K25" s="29" t="b">
        <f t="shared" si="7"/>
        <v>0</v>
      </c>
      <c r="M25" s="37" t="b">
        <f t="shared" si="8"/>
        <v>0</v>
      </c>
      <c r="N25" s="29" t="b">
        <f t="shared" si="9"/>
        <v>0</v>
      </c>
      <c r="S25" s="34" t="s">
        <v>77</v>
      </c>
      <c r="T25" s="38"/>
    </row>
    <row r="26" spans="1:20">
      <c r="A26" s="35"/>
      <c r="C26" s="29" t="e">
        <f t="shared" si="0"/>
        <v>#N/A</v>
      </c>
      <c r="H26" s="29" t="b">
        <f t="shared" si="4"/>
        <v>0</v>
      </c>
      <c r="I26" s="29" t="b">
        <f t="shared" si="5"/>
        <v>0</v>
      </c>
      <c r="J26" s="29">
        <f t="shared" si="6"/>
        <v>0</v>
      </c>
      <c r="K26" s="29" t="b">
        <f t="shared" si="7"/>
        <v>0</v>
      </c>
      <c r="M26" s="37" t="b">
        <f t="shared" si="8"/>
        <v>0</v>
      </c>
      <c r="N26" s="29" t="b">
        <f t="shared" si="9"/>
        <v>0</v>
      </c>
      <c r="S26" s="30" t="s">
        <v>65</v>
      </c>
      <c r="T26" s="38" t="e">
        <f>T11</f>
        <v>#DIV/0!</v>
      </c>
    </row>
    <row r="27" spans="1:20">
      <c r="A27" s="35"/>
      <c r="C27" s="29" t="e">
        <f t="shared" si="0"/>
        <v>#N/A</v>
      </c>
      <c r="H27" s="29" t="b">
        <f t="shared" si="4"/>
        <v>0</v>
      </c>
      <c r="I27" s="29" t="b">
        <f t="shared" si="5"/>
        <v>0</v>
      </c>
      <c r="J27" s="29">
        <f t="shared" si="6"/>
        <v>0</v>
      </c>
      <c r="K27" s="29" t="b">
        <f t="shared" si="7"/>
        <v>0</v>
      </c>
      <c r="M27" s="37" t="b">
        <f t="shared" si="8"/>
        <v>0</v>
      </c>
      <c r="N27" s="29" t="b">
        <f t="shared" si="9"/>
        <v>0</v>
      </c>
      <c r="S27" s="30" t="s">
        <v>78</v>
      </c>
      <c r="T27" s="38" t="e">
        <f>T26+(1.645*T13/SQRT(T10))</f>
        <v>#DIV/0!</v>
      </c>
    </row>
    <row r="28" spans="1:20">
      <c r="A28" s="35"/>
      <c r="C28" s="29" t="e">
        <f t="shared" si="0"/>
        <v>#N/A</v>
      </c>
      <c r="H28" s="29" t="b">
        <f t="shared" si="4"/>
        <v>0</v>
      </c>
      <c r="I28" s="29" t="b">
        <f t="shared" si="5"/>
        <v>0</v>
      </c>
      <c r="J28" s="29">
        <f t="shared" si="6"/>
        <v>0</v>
      </c>
      <c r="K28" s="29" t="b">
        <f t="shared" si="7"/>
        <v>0</v>
      </c>
      <c r="M28" s="37" t="b">
        <f t="shared" si="8"/>
        <v>0</v>
      </c>
      <c r="N28" s="29" t="b">
        <f t="shared" si="9"/>
        <v>0</v>
      </c>
      <c r="S28" s="30" t="s">
        <v>79</v>
      </c>
      <c r="T28" s="38" t="e">
        <f>T26-(1.645*T13/SQRT(T10))</f>
        <v>#DIV/0!</v>
      </c>
    </row>
    <row r="29" spans="1:20">
      <c r="A29" s="35"/>
      <c r="C29" s="29" t="e">
        <f t="shared" si="0"/>
        <v>#N/A</v>
      </c>
      <c r="H29" s="29" t="b">
        <f t="shared" si="4"/>
        <v>0</v>
      </c>
      <c r="I29" s="29" t="b">
        <f t="shared" si="5"/>
        <v>0</v>
      </c>
      <c r="J29" s="29">
        <f t="shared" si="6"/>
        <v>0</v>
      </c>
      <c r="K29" s="29" t="b">
        <f t="shared" si="7"/>
        <v>0</v>
      </c>
      <c r="M29" s="37" t="b">
        <f t="shared" si="8"/>
        <v>0</v>
      </c>
      <c r="N29" s="29" t="b">
        <f t="shared" si="9"/>
        <v>0</v>
      </c>
      <c r="S29" s="30" t="s">
        <v>80</v>
      </c>
      <c r="T29" s="38" t="e">
        <f>T26+(1.645*T13)</f>
        <v>#DIV/0!</v>
      </c>
    </row>
    <row r="30" spans="1:20">
      <c r="A30" s="35"/>
      <c r="C30" s="29" t="e">
        <f t="shared" si="0"/>
        <v>#N/A</v>
      </c>
      <c r="H30" s="29" t="b">
        <f t="shared" si="4"/>
        <v>0</v>
      </c>
      <c r="I30" s="29" t="b">
        <f t="shared" si="5"/>
        <v>0</v>
      </c>
      <c r="J30" s="29">
        <f t="shared" si="6"/>
        <v>0</v>
      </c>
      <c r="K30" s="29" t="b">
        <f t="shared" si="7"/>
        <v>0</v>
      </c>
      <c r="M30" s="37" t="b">
        <f t="shared" si="8"/>
        <v>0</v>
      </c>
      <c r="N30" s="29" t="b">
        <f t="shared" si="9"/>
        <v>0</v>
      </c>
      <c r="S30" s="30" t="s">
        <v>76</v>
      </c>
      <c r="T30" s="38" t="e">
        <f>100*(1-NORMDIST(B6,T26,T13,TRUE()))</f>
        <v>#DIV/0!</v>
      </c>
    </row>
    <row r="31" spans="1:20">
      <c r="A31" s="35"/>
      <c r="C31" s="29" t="e">
        <f t="shared" si="0"/>
        <v>#N/A</v>
      </c>
      <c r="H31" s="29" t="b">
        <f t="shared" si="4"/>
        <v>0</v>
      </c>
      <c r="I31" s="29" t="b">
        <f t="shared" si="5"/>
        <v>0</v>
      </c>
      <c r="J31" s="29">
        <f t="shared" si="6"/>
        <v>0</v>
      </c>
      <c r="K31" s="29" t="b">
        <f t="shared" si="7"/>
        <v>0</v>
      </c>
      <c r="M31" s="37" t="b">
        <f t="shared" si="8"/>
        <v>0</v>
      </c>
      <c r="N31" s="29" t="b">
        <f t="shared" si="9"/>
        <v>0</v>
      </c>
      <c r="S31" s="28" t="s">
        <v>81</v>
      </c>
      <c r="T31" s="28" t="e" vm="1">
        <f>B361</f>
        <v>#VALUE!</v>
      </c>
    </row>
    <row r="32" spans="1:20">
      <c r="A32" s="35"/>
      <c r="C32" s="29" t="e">
        <f t="shared" si="0"/>
        <v>#N/A</v>
      </c>
      <c r="H32" s="29" t="b">
        <f t="shared" si="4"/>
        <v>0</v>
      </c>
      <c r="I32" s="29" t="b">
        <f t="shared" si="5"/>
        <v>0</v>
      </c>
      <c r="J32" s="29">
        <f t="shared" si="6"/>
        <v>0</v>
      </c>
      <c r="K32" s="29" t="b">
        <f t="shared" si="7"/>
        <v>0</v>
      </c>
      <c r="M32" s="37" t="b">
        <f t="shared" si="8"/>
        <v>0</v>
      </c>
      <c r="N32" s="29" t="b">
        <f t="shared" si="9"/>
        <v>0</v>
      </c>
      <c r="S32" s="28" t="s">
        <v>82</v>
      </c>
      <c r="T32" s="39" t="e" vm="1">
        <f>D361</f>
        <v>#VALUE!</v>
      </c>
    </row>
    <row r="33" spans="1:20">
      <c r="A33" s="35"/>
      <c r="C33" s="29" t="e">
        <f t="shared" si="0"/>
        <v>#N/A</v>
      </c>
      <c r="H33" s="29" t="b">
        <f t="shared" si="4"/>
        <v>0</v>
      </c>
      <c r="I33" s="29" t="b">
        <f t="shared" si="5"/>
        <v>0</v>
      </c>
      <c r="J33" s="29">
        <f t="shared" si="6"/>
        <v>0</v>
      </c>
      <c r="K33" s="29" t="b">
        <f t="shared" si="7"/>
        <v>0</v>
      </c>
      <c r="M33" s="37" t="b">
        <f t="shared" si="8"/>
        <v>0</v>
      </c>
      <c r="N33" s="29" t="b">
        <f t="shared" si="9"/>
        <v>0</v>
      </c>
      <c r="S33" s="28"/>
    </row>
    <row r="34" spans="1:20">
      <c r="A34" s="35"/>
      <c r="C34" s="29" t="e">
        <f t="shared" si="0"/>
        <v>#N/A</v>
      </c>
      <c r="H34" s="29" t="b">
        <f t="shared" si="4"/>
        <v>0</v>
      </c>
      <c r="I34" s="29" t="b">
        <f t="shared" si="5"/>
        <v>0</v>
      </c>
      <c r="J34" s="29">
        <f t="shared" si="6"/>
        <v>0</v>
      </c>
      <c r="K34" s="29" t="b">
        <f t="shared" si="7"/>
        <v>0</v>
      </c>
      <c r="M34" s="37" t="b">
        <f t="shared" si="8"/>
        <v>0</v>
      </c>
      <c r="N34" s="29" t="b">
        <f t="shared" si="9"/>
        <v>0</v>
      </c>
      <c r="S34" s="34" t="s">
        <v>83</v>
      </c>
      <c r="T34" s="38"/>
    </row>
    <row r="35" spans="1:20">
      <c r="A35" s="35"/>
      <c r="C35" s="29" t="e">
        <f t="shared" si="0"/>
        <v>#N/A</v>
      </c>
      <c r="H35" s="29" t="b">
        <f t="shared" si="4"/>
        <v>0</v>
      </c>
      <c r="I35" s="29" t="b">
        <f t="shared" si="5"/>
        <v>0</v>
      </c>
      <c r="J35" s="29">
        <f t="shared" si="6"/>
        <v>0</v>
      </c>
      <c r="K35" s="29" t="b">
        <f t="shared" si="7"/>
        <v>0</v>
      </c>
      <c r="M35" s="37" t="b">
        <f t="shared" si="8"/>
        <v>0</v>
      </c>
      <c r="N35" s="29" t="b">
        <f t="shared" si="9"/>
        <v>0</v>
      </c>
      <c r="S35" s="30" t="s">
        <v>72</v>
      </c>
      <c r="T35" s="38" t="e">
        <f>T18</f>
        <v>#DIV/0!</v>
      </c>
    </row>
    <row r="36" spans="1:20">
      <c r="A36" s="35"/>
      <c r="C36" s="29" t="e">
        <f t="shared" si="0"/>
        <v>#N/A</v>
      </c>
      <c r="H36" s="29" t="b">
        <f t="shared" si="4"/>
        <v>0</v>
      </c>
      <c r="I36" s="29" t="b">
        <f t="shared" si="5"/>
        <v>0</v>
      </c>
      <c r="J36" s="29">
        <f t="shared" si="6"/>
        <v>0</v>
      </c>
      <c r="K36" s="29" t="b">
        <f t="shared" si="7"/>
        <v>0</v>
      </c>
      <c r="M36" s="37" t="b">
        <f t="shared" si="8"/>
        <v>0</v>
      </c>
      <c r="N36" s="29" t="b">
        <f t="shared" si="9"/>
        <v>0</v>
      </c>
      <c r="S36" s="30" t="s">
        <v>73</v>
      </c>
      <c r="T36" s="38" t="e">
        <f>T19</f>
        <v>#DIV/0!</v>
      </c>
    </row>
    <row r="37" spans="1:20">
      <c r="A37" s="35"/>
      <c r="C37" s="29" t="e">
        <f t="shared" si="0"/>
        <v>#N/A</v>
      </c>
      <c r="H37" s="29" t="b">
        <f t="shared" si="4"/>
        <v>0</v>
      </c>
      <c r="I37" s="29" t="b">
        <f t="shared" si="5"/>
        <v>0</v>
      </c>
      <c r="J37" s="29">
        <f t="shared" si="6"/>
        <v>0</v>
      </c>
      <c r="K37" s="29" t="b">
        <f t="shared" si="7"/>
        <v>0</v>
      </c>
      <c r="M37" s="37" t="b">
        <f t="shared" si="8"/>
        <v>0</v>
      </c>
      <c r="N37" s="29" t="b">
        <f t="shared" si="9"/>
        <v>0</v>
      </c>
      <c r="S37" s="30" t="s">
        <v>84</v>
      </c>
      <c r="T37" s="38" t="e">
        <f>T11</f>
        <v>#DIV/0!</v>
      </c>
    </row>
    <row r="38" spans="1:20">
      <c r="A38" s="35"/>
      <c r="C38" s="29" t="e">
        <f t="shared" si="0"/>
        <v>#N/A</v>
      </c>
      <c r="H38" s="29" t="b">
        <f t="shared" si="4"/>
        <v>0</v>
      </c>
      <c r="I38" s="29" t="b">
        <f t="shared" si="5"/>
        <v>0</v>
      </c>
      <c r="J38" s="29">
        <f t="shared" si="6"/>
        <v>0</v>
      </c>
      <c r="K38" s="29" t="b">
        <f t="shared" si="7"/>
        <v>0</v>
      </c>
      <c r="M38" s="37" t="b">
        <f t="shared" si="8"/>
        <v>0</v>
      </c>
      <c r="N38" s="29" t="b">
        <f t="shared" si="9"/>
        <v>0</v>
      </c>
      <c r="Q38" s="28"/>
      <c r="R38" s="28"/>
      <c r="S38" s="30" t="s">
        <v>85</v>
      </c>
      <c r="T38" s="38" t="e">
        <f>W98</f>
        <v>#DIV/0!</v>
      </c>
    </row>
    <row r="39" spans="1:20">
      <c r="A39" s="35"/>
      <c r="C39" s="29" t="e">
        <f t="shared" si="0"/>
        <v>#N/A</v>
      </c>
      <c r="H39" s="29" t="b">
        <f t="shared" si="4"/>
        <v>0</v>
      </c>
      <c r="I39" s="29" t="b">
        <f t="shared" si="5"/>
        <v>0</v>
      </c>
      <c r="J39" s="29">
        <f t="shared" si="6"/>
        <v>0</v>
      </c>
      <c r="K39" s="29" t="b">
        <f t="shared" si="7"/>
        <v>0</v>
      </c>
      <c r="M39" s="37" t="b">
        <f t="shared" si="8"/>
        <v>0</v>
      </c>
      <c r="N39" s="29" t="b">
        <f t="shared" si="9"/>
        <v>0</v>
      </c>
      <c r="Q39" s="28"/>
      <c r="R39" s="28"/>
      <c r="S39" s="30" t="s">
        <v>86</v>
      </c>
      <c r="T39" s="38" t="e">
        <f>X96</f>
        <v>#DIV/0!</v>
      </c>
    </row>
    <row r="40" spans="1:20">
      <c r="A40" s="35"/>
      <c r="C40" s="29" t="e">
        <f t="shared" si="0"/>
        <v>#N/A</v>
      </c>
      <c r="H40" s="29" t="b">
        <f t="shared" si="4"/>
        <v>0</v>
      </c>
      <c r="I40" s="29" t="b">
        <f t="shared" si="5"/>
        <v>0</v>
      </c>
      <c r="J40" s="29">
        <f t="shared" si="6"/>
        <v>0</v>
      </c>
      <c r="K40" s="29" t="b">
        <f t="shared" si="7"/>
        <v>0</v>
      </c>
      <c r="M40" s="37" t="b">
        <f t="shared" si="8"/>
        <v>0</v>
      </c>
      <c r="N40" s="29" t="b">
        <f t="shared" si="9"/>
        <v>0</v>
      </c>
      <c r="S40" s="30" t="s">
        <v>87</v>
      </c>
      <c r="T40" s="38" t="e">
        <f>$T$37+(TINV(0.1,$T$10-1)*($T$13/SQRT($T$10)))</f>
        <v>#DIV/0!</v>
      </c>
    </row>
    <row r="41" spans="1:20">
      <c r="A41" s="35"/>
      <c r="C41" s="29" t="e">
        <f t="shared" si="0"/>
        <v>#N/A</v>
      </c>
      <c r="H41" s="29" t="b">
        <f t="shared" si="4"/>
        <v>0</v>
      </c>
      <c r="I41" s="29" t="b">
        <f t="shared" si="5"/>
        <v>0</v>
      </c>
      <c r="J41" s="29">
        <f t="shared" si="6"/>
        <v>0</v>
      </c>
      <c r="K41" s="29" t="b">
        <f t="shared" si="7"/>
        <v>0</v>
      </c>
      <c r="M41" s="37" t="b">
        <f t="shared" si="8"/>
        <v>0</v>
      </c>
      <c r="N41" s="29" t="b">
        <f t="shared" si="9"/>
        <v>0</v>
      </c>
      <c r="S41" s="30" t="s">
        <v>88</v>
      </c>
      <c r="T41" s="38" t="e">
        <f>$T$37-(TINV(0.1,$T$10-1)*($T$13/SQRT($T$10)))</f>
        <v>#DIV/0!</v>
      </c>
    </row>
    <row r="42" spans="1:20">
      <c r="A42" s="35"/>
      <c r="C42" s="29" t="e">
        <f t="shared" ref="C42:C60" si="10">K106</f>
        <v>#N/A</v>
      </c>
      <c r="H42" s="29" t="b">
        <f t="shared" ref="H42:H60" si="11">IF(ISNUMBER(N106),N106)</f>
        <v>0</v>
      </c>
      <c r="I42" s="29" t="b">
        <f t="shared" ref="I42:I60" si="12">IF(ISNUMBER(O106),O106)</f>
        <v>0</v>
      </c>
      <c r="J42" s="29">
        <f t="shared" ref="J42:J60" si="13">IF(A42&gt;$B$6,1,0)</f>
        <v>0</v>
      </c>
      <c r="K42" s="29" t="b">
        <f t="shared" ref="K42:K60" si="14">IF(ISNUMBER(N106),LN(N106))</f>
        <v>0</v>
      </c>
      <c r="M42" s="37" t="b">
        <f t="shared" ref="M42:M60" si="15">IF(ISNUMBER(A42),(A42-$T$11)^2)</f>
        <v>0</v>
      </c>
      <c r="N42" s="29" t="b">
        <f t="shared" ref="N42:N60" si="16">IF(ISNUMBER(K42),(K42-$T$20)^2)</f>
        <v>0</v>
      </c>
      <c r="S42" s="30" t="s">
        <v>89</v>
      </c>
      <c r="T42" s="38" t="e">
        <f>$T$38*EXP(TINV(0.1,$T$10-1)*($T$21/SQRT($T$10)))</f>
        <v>#DIV/0!</v>
      </c>
    </row>
    <row r="43" spans="1:20">
      <c r="A43" s="35"/>
      <c r="C43" s="29" t="e">
        <f t="shared" si="10"/>
        <v>#N/A</v>
      </c>
      <c r="H43" s="29" t="b">
        <f t="shared" si="11"/>
        <v>0</v>
      </c>
      <c r="I43" s="29" t="b">
        <f t="shared" si="12"/>
        <v>0</v>
      </c>
      <c r="J43" s="29">
        <f t="shared" si="13"/>
        <v>0</v>
      </c>
      <c r="K43" s="29" t="b">
        <f t="shared" si="14"/>
        <v>0</v>
      </c>
      <c r="M43" s="37" t="b">
        <f t="shared" si="15"/>
        <v>0</v>
      </c>
      <c r="N43" s="29" t="b">
        <f t="shared" si="16"/>
        <v>0</v>
      </c>
      <c r="S43" s="30" t="s">
        <v>90</v>
      </c>
      <c r="T43" s="38" t="e">
        <f>$T$38*EXP(-TINV(0.1,$T$10-1)*($T$21/SQRT($T$10)))</f>
        <v>#DIV/0!</v>
      </c>
    </row>
    <row r="44" spans="1:20">
      <c r="A44" s="35"/>
      <c r="C44" s="29" t="e">
        <f t="shared" si="10"/>
        <v>#N/A</v>
      </c>
      <c r="H44" s="29" t="b">
        <f t="shared" si="11"/>
        <v>0</v>
      </c>
      <c r="I44" s="29" t="b">
        <f t="shared" si="12"/>
        <v>0</v>
      </c>
      <c r="J44" s="29">
        <f t="shared" si="13"/>
        <v>0</v>
      </c>
      <c r="K44" s="29" t="b">
        <f t="shared" si="14"/>
        <v>0</v>
      </c>
      <c r="M44" s="37" t="b">
        <f t="shared" si="15"/>
        <v>0</v>
      </c>
      <c r="N44" s="29" t="b">
        <f t="shared" si="16"/>
        <v>0</v>
      </c>
      <c r="S44" s="30" t="s">
        <v>91</v>
      </c>
      <c r="T44" s="38" t="e">
        <f>$T$39*EXP(TINV(0.05,$T$10-1)*SQRT(((($T$21)^2)/$T$10)+((($T$21)^4)/2)/(($T$10)-1)))</f>
        <v>#DIV/0!</v>
      </c>
    </row>
    <row r="45" spans="1:20">
      <c r="A45" s="35"/>
      <c r="C45" s="29" t="e">
        <f t="shared" si="10"/>
        <v>#N/A</v>
      </c>
      <c r="H45" s="29" t="b">
        <f t="shared" si="11"/>
        <v>0</v>
      </c>
      <c r="I45" s="29" t="b">
        <f t="shared" si="12"/>
        <v>0</v>
      </c>
      <c r="J45" s="29">
        <f t="shared" si="13"/>
        <v>0</v>
      </c>
      <c r="K45" s="29" t="b">
        <f t="shared" si="14"/>
        <v>0</v>
      </c>
      <c r="M45" s="37" t="b">
        <f t="shared" si="15"/>
        <v>0</v>
      </c>
      <c r="N45" s="29" t="b">
        <f t="shared" si="16"/>
        <v>0</v>
      </c>
      <c r="S45" s="30" t="s">
        <v>92</v>
      </c>
      <c r="T45" s="38" t="e">
        <f>$T$39*EXP(-TINV(0.05,$T$10-1)*SQRT(((($T$21)^2)/$T$10)+((($T$21)^4)/2)/(($T$10)-1)))</f>
        <v>#DIV/0!</v>
      </c>
    </row>
    <row r="46" spans="1:20">
      <c r="A46" s="35"/>
      <c r="C46" s="29" t="e">
        <f t="shared" si="10"/>
        <v>#N/A</v>
      </c>
      <c r="H46" s="29" t="b">
        <f t="shared" si="11"/>
        <v>0</v>
      </c>
      <c r="I46" s="29" t="b">
        <f t="shared" si="12"/>
        <v>0</v>
      </c>
      <c r="J46" s="29">
        <f t="shared" si="13"/>
        <v>0</v>
      </c>
      <c r="K46" s="29" t="b">
        <f t="shared" si="14"/>
        <v>0</v>
      </c>
      <c r="M46" s="37" t="b">
        <f t="shared" si="15"/>
        <v>0</v>
      </c>
      <c r="N46" s="29" t="b">
        <f t="shared" si="16"/>
        <v>0</v>
      </c>
      <c r="S46" s="30" t="s">
        <v>93</v>
      </c>
      <c r="T46" s="38" t="e">
        <f>J179</f>
        <v>#DIV/0!</v>
      </c>
    </row>
    <row r="47" spans="1:20">
      <c r="A47" s="35"/>
      <c r="C47" s="29" t="e">
        <f t="shared" si="10"/>
        <v>#N/A</v>
      </c>
      <c r="H47" s="29" t="b">
        <f t="shared" si="11"/>
        <v>0</v>
      </c>
      <c r="I47" s="29" t="b">
        <f t="shared" si="12"/>
        <v>0</v>
      </c>
      <c r="J47" s="29">
        <f t="shared" si="13"/>
        <v>0</v>
      </c>
      <c r="K47" s="29" t="b">
        <f t="shared" si="14"/>
        <v>0</v>
      </c>
      <c r="M47" s="37" t="b">
        <f t="shared" si="15"/>
        <v>0</v>
      </c>
      <c r="N47" s="29" t="b">
        <f t="shared" si="16"/>
        <v>0</v>
      </c>
      <c r="S47" s="30" t="s">
        <v>94</v>
      </c>
      <c r="T47" s="38" t="e">
        <f>J178</f>
        <v>#DIV/0!</v>
      </c>
    </row>
    <row r="48" spans="1:20">
      <c r="A48" s="35"/>
      <c r="C48" s="29" t="e">
        <f t="shared" si="10"/>
        <v>#N/A</v>
      </c>
      <c r="H48" s="29" t="b">
        <f t="shared" si="11"/>
        <v>0</v>
      </c>
      <c r="I48" s="29" t="b">
        <f t="shared" si="12"/>
        <v>0</v>
      </c>
      <c r="J48" s="29">
        <f t="shared" si="13"/>
        <v>0</v>
      </c>
      <c r="K48" s="29" t="b">
        <f t="shared" si="14"/>
        <v>0</v>
      </c>
      <c r="M48" s="37" t="b">
        <f t="shared" si="15"/>
        <v>0</v>
      </c>
      <c r="N48" s="29" t="b">
        <f t="shared" si="16"/>
        <v>0</v>
      </c>
      <c r="S48" s="30" t="s">
        <v>95</v>
      </c>
      <c r="T48" s="38" t="e">
        <f>$T$35*($T$36^(1.645))</f>
        <v>#DIV/0!</v>
      </c>
    </row>
    <row r="49" spans="1:22">
      <c r="A49" s="35"/>
      <c r="C49" s="29" t="e">
        <f t="shared" si="10"/>
        <v>#N/A</v>
      </c>
      <c r="H49" s="29" t="b">
        <f t="shared" si="11"/>
        <v>0</v>
      </c>
      <c r="I49" s="29" t="b">
        <f t="shared" si="12"/>
        <v>0</v>
      </c>
      <c r="J49" s="29">
        <f t="shared" si="13"/>
        <v>0</v>
      </c>
      <c r="K49" s="29" t="b">
        <f t="shared" si="14"/>
        <v>0</v>
      </c>
      <c r="M49" s="37" t="b">
        <f t="shared" si="15"/>
        <v>0</v>
      </c>
      <c r="N49" s="29" t="b">
        <f t="shared" si="16"/>
        <v>0</v>
      </c>
      <c r="S49" s="30" t="s">
        <v>96</v>
      </c>
      <c r="T49" s="38" t="e">
        <f>AE87</f>
        <v>#DIV/0!</v>
      </c>
    </row>
    <row r="50" spans="1:22">
      <c r="A50" s="35"/>
      <c r="C50" s="29" t="e">
        <f t="shared" si="10"/>
        <v>#N/A</v>
      </c>
      <c r="H50" s="29" t="b">
        <f t="shared" si="11"/>
        <v>0</v>
      </c>
      <c r="I50" s="29" t="b">
        <f t="shared" si="12"/>
        <v>0</v>
      </c>
      <c r="J50" s="29">
        <f t="shared" si="13"/>
        <v>0</v>
      </c>
      <c r="K50" s="29" t="b">
        <f t="shared" si="14"/>
        <v>0</v>
      </c>
      <c r="M50" s="37" t="b">
        <f t="shared" si="15"/>
        <v>0</v>
      </c>
      <c r="N50" s="29" t="b">
        <f t="shared" si="16"/>
        <v>0</v>
      </c>
      <c r="S50" s="30" t="s">
        <v>76</v>
      </c>
      <c r="T50" s="38" t="e">
        <f>100*(1-LOGNORMDIST($B$6,$T$20,$T$21))</f>
        <v>#DIV/0!</v>
      </c>
    </row>
    <row r="51" spans="1:22">
      <c r="A51" s="35"/>
      <c r="C51" s="29" t="e">
        <f t="shared" si="10"/>
        <v>#N/A</v>
      </c>
      <c r="H51" s="29" t="b">
        <f t="shared" si="11"/>
        <v>0</v>
      </c>
      <c r="I51" s="29" t="b">
        <f t="shared" si="12"/>
        <v>0</v>
      </c>
      <c r="J51" s="29">
        <f t="shared" si="13"/>
        <v>0</v>
      </c>
      <c r="K51" s="29" t="b">
        <f t="shared" si="14"/>
        <v>0</v>
      </c>
      <c r="M51" s="37" t="b">
        <f t="shared" si="15"/>
        <v>0</v>
      </c>
      <c r="N51" s="29" t="b">
        <f t="shared" si="16"/>
        <v>0</v>
      </c>
      <c r="S51" s="28" t="s">
        <v>97</v>
      </c>
      <c r="T51" s="28" t="e">
        <f>J212*100</f>
        <v>#N/A</v>
      </c>
    </row>
    <row r="52" spans="1:22">
      <c r="A52" s="35"/>
      <c r="C52" s="29" t="e">
        <f t="shared" si="10"/>
        <v>#N/A</v>
      </c>
      <c r="H52" s="29" t="b">
        <f t="shared" si="11"/>
        <v>0</v>
      </c>
      <c r="I52" s="29" t="b">
        <f t="shared" si="12"/>
        <v>0</v>
      </c>
      <c r="J52" s="29">
        <f t="shared" si="13"/>
        <v>0</v>
      </c>
      <c r="K52" s="29" t="b">
        <f t="shared" si="14"/>
        <v>0</v>
      </c>
      <c r="M52" s="37" t="b">
        <f t="shared" si="15"/>
        <v>0</v>
      </c>
      <c r="N52" s="29" t="b">
        <f t="shared" si="16"/>
        <v>0</v>
      </c>
      <c r="S52" s="28" t="s">
        <v>98</v>
      </c>
      <c r="T52" s="28" t="e">
        <f>J211*100</f>
        <v>#N/A</v>
      </c>
    </row>
    <row r="53" spans="1:22">
      <c r="A53" s="35"/>
      <c r="C53" s="29" t="e">
        <f t="shared" si="10"/>
        <v>#N/A</v>
      </c>
      <c r="H53" s="29" t="b">
        <f t="shared" si="11"/>
        <v>0</v>
      </c>
      <c r="I53" s="29" t="b">
        <f t="shared" si="12"/>
        <v>0</v>
      </c>
      <c r="J53" s="29">
        <f t="shared" si="13"/>
        <v>0</v>
      </c>
      <c r="K53" s="29" t="b">
        <f t="shared" si="14"/>
        <v>0</v>
      </c>
      <c r="M53" s="37" t="b">
        <f t="shared" si="15"/>
        <v>0</v>
      </c>
      <c r="N53" s="29" t="b">
        <f t="shared" si="16"/>
        <v>0</v>
      </c>
      <c r="S53" s="30" t="s">
        <v>99</v>
      </c>
      <c r="T53" s="38" t="e">
        <f>$AB$94</f>
        <v>#DIV/0!</v>
      </c>
    </row>
    <row r="54" spans="1:22">
      <c r="A54" s="35"/>
      <c r="C54" s="29" t="e">
        <f t="shared" si="10"/>
        <v>#N/A</v>
      </c>
      <c r="H54" s="29" t="b">
        <f t="shared" si="11"/>
        <v>0</v>
      </c>
      <c r="I54" s="29" t="b">
        <f t="shared" si="12"/>
        <v>0</v>
      </c>
      <c r="J54" s="29">
        <f t="shared" si="13"/>
        <v>0</v>
      </c>
      <c r="K54" s="29" t="b">
        <f t="shared" si="14"/>
        <v>0</v>
      </c>
      <c r="M54" s="37" t="b">
        <f t="shared" si="15"/>
        <v>0</v>
      </c>
      <c r="N54" s="29" t="b">
        <f t="shared" si="16"/>
        <v>0</v>
      </c>
      <c r="S54" s="30" t="s">
        <v>100</v>
      </c>
      <c r="T54" s="28" t="e">
        <f>$AA$94</f>
        <v>#DIV/0!</v>
      </c>
    </row>
    <row r="55" spans="1:22">
      <c r="A55" s="35"/>
      <c r="C55" s="29" t="e">
        <f t="shared" si="10"/>
        <v>#N/A</v>
      </c>
      <c r="H55" s="29" t="b">
        <f t="shared" si="11"/>
        <v>0</v>
      </c>
      <c r="I55" s="29" t="b">
        <f t="shared" si="12"/>
        <v>0</v>
      </c>
      <c r="J55" s="29">
        <f t="shared" si="13"/>
        <v>0</v>
      </c>
      <c r="K55" s="29" t="b">
        <f t="shared" si="14"/>
        <v>0</v>
      </c>
      <c r="M55" s="37" t="b">
        <f t="shared" si="15"/>
        <v>0</v>
      </c>
      <c r="N55" s="29" t="b">
        <f t="shared" si="16"/>
        <v>0</v>
      </c>
      <c r="S55" s="28" t="s">
        <v>101</v>
      </c>
      <c r="T55" s="28" t="e" vm="1">
        <f>B362</f>
        <v>#VALUE!</v>
      </c>
    </row>
    <row r="56" spans="1:22">
      <c r="A56" s="35"/>
      <c r="C56" s="29" t="e">
        <f t="shared" si="10"/>
        <v>#N/A</v>
      </c>
      <c r="H56" s="29" t="b">
        <f t="shared" si="11"/>
        <v>0</v>
      </c>
      <c r="I56" s="29" t="b">
        <f t="shared" si="12"/>
        <v>0</v>
      </c>
      <c r="J56" s="29">
        <f t="shared" si="13"/>
        <v>0</v>
      </c>
      <c r="K56" s="29" t="b">
        <f t="shared" si="14"/>
        <v>0</v>
      </c>
      <c r="M56" s="37" t="b">
        <f t="shared" si="15"/>
        <v>0</v>
      </c>
      <c r="N56" s="29" t="b">
        <f t="shared" si="16"/>
        <v>0</v>
      </c>
      <c r="S56" s="28" t="s">
        <v>102</v>
      </c>
      <c r="T56" s="39" t="e" vm="1">
        <f>D362</f>
        <v>#VALUE!</v>
      </c>
    </row>
    <row r="57" spans="1:22">
      <c r="A57" s="35"/>
      <c r="C57" s="29" t="e">
        <f t="shared" si="10"/>
        <v>#N/A</v>
      </c>
      <c r="H57" s="29" t="b">
        <f t="shared" si="11"/>
        <v>0</v>
      </c>
      <c r="I57" s="29" t="b">
        <f t="shared" si="12"/>
        <v>0</v>
      </c>
      <c r="J57" s="29">
        <f t="shared" si="13"/>
        <v>0</v>
      </c>
      <c r="K57" s="29" t="b">
        <f t="shared" si="14"/>
        <v>0</v>
      </c>
      <c r="M57" s="37" t="b">
        <f t="shared" si="15"/>
        <v>0</v>
      </c>
      <c r="N57" s="29" t="b">
        <f t="shared" si="16"/>
        <v>0</v>
      </c>
      <c r="S57" s="28"/>
    </row>
    <row r="58" spans="1:22">
      <c r="A58" s="35"/>
      <c r="C58" s="29" t="e">
        <f t="shared" si="10"/>
        <v>#N/A</v>
      </c>
      <c r="H58" s="29" t="b">
        <f t="shared" si="11"/>
        <v>0</v>
      </c>
      <c r="I58" s="29" t="b">
        <f t="shared" si="12"/>
        <v>0</v>
      </c>
      <c r="J58" s="29">
        <f t="shared" si="13"/>
        <v>0</v>
      </c>
      <c r="K58" s="29" t="b">
        <f t="shared" si="14"/>
        <v>0</v>
      </c>
      <c r="M58" s="37" t="b">
        <f t="shared" si="15"/>
        <v>0</v>
      </c>
      <c r="N58" s="29" t="b">
        <f t="shared" si="16"/>
        <v>0</v>
      </c>
    </row>
    <row r="59" spans="1:22">
      <c r="A59" s="35"/>
      <c r="C59" s="29" t="e">
        <f t="shared" si="10"/>
        <v>#N/A</v>
      </c>
      <c r="H59" s="29" t="b">
        <f t="shared" si="11"/>
        <v>0</v>
      </c>
      <c r="I59" s="29" t="b">
        <f t="shared" si="12"/>
        <v>0</v>
      </c>
      <c r="J59" s="29">
        <f t="shared" si="13"/>
        <v>0</v>
      </c>
      <c r="K59" s="29" t="b">
        <f t="shared" si="14"/>
        <v>0</v>
      </c>
      <c r="M59" s="37" t="b">
        <f t="shared" si="15"/>
        <v>0</v>
      </c>
      <c r="N59" s="29" t="b">
        <f t="shared" si="16"/>
        <v>0</v>
      </c>
    </row>
    <row r="60" spans="1:22" ht="13.8" thickBot="1">
      <c r="A60" s="40"/>
      <c r="C60" s="29" t="e">
        <f t="shared" si="10"/>
        <v>#N/A</v>
      </c>
      <c r="H60" s="29" t="b">
        <f t="shared" si="11"/>
        <v>0</v>
      </c>
      <c r="I60" s="29" t="b">
        <f t="shared" si="12"/>
        <v>0</v>
      </c>
      <c r="J60" s="29">
        <f t="shared" si="13"/>
        <v>0</v>
      </c>
      <c r="K60" s="29" t="b">
        <f t="shared" si="14"/>
        <v>0</v>
      </c>
      <c r="M60" s="37" t="b">
        <f t="shared" si="15"/>
        <v>0</v>
      </c>
      <c r="N60" s="29" t="b">
        <f t="shared" si="16"/>
        <v>0</v>
      </c>
    </row>
    <row r="61" spans="1:22" ht="13.8" thickTop="1"/>
    <row r="62" spans="1:22">
      <c r="L62" s="29" t="s">
        <v>103</v>
      </c>
      <c r="M62" s="37">
        <f>SUM(M10:M60)</f>
        <v>0</v>
      </c>
      <c r="N62" s="37">
        <f>SUM(N10:N60)</f>
        <v>0</v>
      </c>
    </row>
    <row r="64" spans="1:22">
      <c r="V64" s="28" t="s">
        <v>104</v>
      </c>
    </row>
    <row r="65" spans="1:25">
      <c r="V65" s="28" t="s">
        <v>105</v>
      </c>
      <c r="W65" s="28" t="e">
        <f>SLOPE(I10:I60,H10:H60)</f>
        <v>#DIV/0!</v>
      </c>
    </row>
    <row r="66" spans="1:25">
      <c r="V66" s="28" t="s">
        <v>106</v>
      </c>
      <c r="W66" s="28" t="e">
        <f>INTERCEPT(I10:I60,H10:H60)</f>
        <v>#DIV/0!</v>
      </c>
    </row>
    <row r="68" spans="1:25">
      <c r="V68" s="28" t="s">
        <v>107</v>
      </c>
      <c r="W68" s="28" t="s">
        <v>57</v>
      </c>
      <c r="X68" s="28" t="s">
        <v>108</v>
      </c>
    </row>
    <row r="69" spans="1:25">
      <c r="W69" s="41" t="e">
        <f>(X69-W66)/W65</f>
        <v>#DIV/0!</v>
      </c>
      <c r="X69" s="28">
        <v>2.5</v>
      </c>
    </row>
    <row r="70" spans="1:25">
      <c r="W70" s="41" t="e">
        <f>(X70-W66)/W65</f>
        <v>#DIV/0!</v>
      </c>
      <c r="X70" s="28">
        <v>7.33</v>
      </c>
    </row>
    <row r="72" spans="1:25">
      <c r="C72" s="29" t="s">
        <v>109</v>
      </c>
      <c r="M72" s="29" t="s">
        <v>110</v>
      </c>
    </row>
    <row r="73" spans="1:25">
      <c r="A73" s="28" t="s">
        <v>111</v>
      </c>
      <c r="D73" s="29" t="s">
        <v>112</v>
      </c>
      <c r="I73" s="29" t="s">
        <v>113</v>
      </c>
      <c r="J73" s="29" t="s">
        <v>114</v>
      </c>
      <c r="K73" s="29" t="s">
        <v>115</v>
      </c>
      <c r="M73" s="29" t="s">
        <v>116</v>
      </c>
      <c r="N73" s="29" t="s">
        <v>117</v>
      </c>
      <c r="O73" s="29" t="s">
        <v>115</v>
      </c>
      <c r="P73" s="29" t="s">
        <v>54</v>
      </c>
      <c r="S73" s="30" t="s">
        <v>42</v>
      </c>
      <c r="T73" s="28" t="s">
        <v>43</v>
      </c>
      <c r="V73" s="28" t="s">
        <v>118</v>
      </c>
    </row>
    <row r="74" spans="1:25">
      <c r="A74" s="28" t="str">
        <f t="shared" ref="A74:A105" si="17">A10</f>
        <v/>
      </c>
      <c r="D74" s="42">
        <f>$T$17</f>
        <v>0</v>
      </c>
      <c r="I74" s="29" t="b">
        <f t="shared" ref="I74:I105" si="18">IF(ISNUMBER(J74),M74)</f>
        <v>0</v>
      </c>
      <c r="J74" s="29" t="str">
        <f t="shared" ref="J74:J105" si="19">IF(A74&gt;0,A74,NA())</f>
        <v/>
      </c>
      <c r="K74" s="29" t="e">
        <f t="shared" ref="K74:K105" si="20">NORMSINV(S74)+5</f>
        <v>#VALUE!</v>
      </c>
      <c r="M74" s="29">
        <v>1</v>
      </c>
      <c r="N74" s="29" t="e">
        <f t="shared" ref="N74:N105" si="21">IF(M74&lt;$T$10+1,SMALL($A$10:$A$60,M74),NA())</f>
        <v>#N/A</v>
      </c>
      <c r="O74" s="29" t="e">
        <f t="shared" ref="O74:O105" si="22">NORMSINV(P74)+5</f>
        <v>#N/A</v>
      </c>
      <c r="P74" s="29" t="e">
        <f t="shared" ref="P74:P105" si="23">IF(M74&lt;$T$10+1,((M74)/($T$10+1)),NA())</f>
        <v>#N/A</v>
      </c>
      <c r="S74" s="30" t="e">
        <f t="shared" ref="S74:S105" si="24">((T74-0.5)/$T$10)</f>
        <v>#VALUE!</v>
      </c>
      <c r="T74" s="43" t="e">
        <f t="shared" ref="T74:T105" si="25">RANK(A10,$A$10:$A$60, 1)</f>
        <v>#VALUE!</v>
      </c>
      <c r="V74" s="28" t="s">
        <v>105</v>
      </c>
      <c r="W74" s="28" t="e">
        <f>SLOPE(I10:I60,K10:K60)</f>
        <v>#DIV/0!</v>
      </c>
    </row>
    <row r="75" spans="1:25">
      <c r="A75" s="28" t="str">
        <f t="shared" si="17"/>
        <v/>
      </c>
      <c r="C75" s="29">
        <v>1E-4</v>
      </c>
      <c r="D75" s="36">
        <f>IF(AND(0.00001&lt;$D$74,$D$74&lt;=0.0001),0.0001,0)</f>
        <v>0</v>
      </c>
      <c r="I75" s="29" t="b">
        <f t="shared" si="18"/>
        <v>0</v>
      </c>
      <c r="J75" s="29" t="str">
        <f t="shared" si="19"/>
        <v/>
      </c>
      <c r="K75" s="29" t="e">
        <f t="shared" si="20"/>
        <v>#VALUE!</v>
      </c>
      <c r="M75" s="29">
        <v>2</v>
      </c>
      <c r="N75" s="29" t="e">
        <f t="shared" si="21"/>
        <v>#N/A</v>
      </c>
      <c r="O75" s="29" t="e">
        <f t="shared" si="22"/>
        <v>#N/A</v>
      </c>
      <c r="P75" s="29" t="e">
        <f t="shared" si="23"/>
        <v>#N/A</v>
      </c>
      <c r="S75" s="30" t="e">
        <f t="shared" si="24"/>
        <v>#VALUE!</v>
      </c>
      <c r="T75" s="43" t="e">
        <f t="shared" si="25"/>
        <v>#VALUE!</v>
      </c>
      <c r="V75" s="28" t="s">
        <v>106</v>
      </c>
      <c r="W75" s="28" t="e">
        <f>INTERCEPT(I10:I60,K10:K60)</f>
        <v>#DIV/0!</v>
      </c>
    </row>
    <row r="76" spans="1:25">
      <c r="A76" s="28" t="str">
        <f t="shared" si="17"/>
        <v/>
      </c>
      <c r="C76" s="29">
        <v>1E-3</v>
      </c>
      <c r="D76" s="29">
        <f>IF(AND(0.0001&lt;$D$74,$D$74&lt;=0.001),0.001,0)</f>
        <v>0</v>
      </c>
      <c r="I76" s="29" t="b">
        <f t="shared" si="18"/>
        <v>0</v>
      </c>
      <c r="J76" s="29" t="str">
        <f t="shared" si="19"/>
        <v/>
      </c>
      <c r="K76" s="29" t="e">
        <f t="shared" si="20"/>
        <v>#VALUE!</v>
      </c>
      <c r="M76" s="29">
        <v>3</v>
      </c>
      <c r="N76" s="29" t="e">
        <f t="shared" si="21"/>
        <v>#N/A</v>
      </c>
      <c r="O76" s="29" t="e">
        <f t="shared" si="22"/>
        <v>#N/A</v>
      </c>
      <c r="P76" s="29" t="e">
        <f t="shared" si="23"/>
        <v>#N/A</v>
      </c>
      <c r="S76" s="30" t="e">
        <f t="shared" si="24"/>
        <v>#VALUE!</v>
      </c>
      <c r="T76" s="43" t="e">
        <f t="shared" si="25"/>
        <v>#VALUE!</v>
      </c>
    </row>
    <row r="77" spans="1:25">
      <c r="A77" s="28" t="str">
        <f t="shared" si="17"/>
        <v/>
      </c>
      <c r="C77" s="29">
        <v>0.01</v>
      </c>
      <c r="D77" s="29">
        <f>IF(AND(0.001&lt;$D$74,$D$74&lt;=0.01),0.01,0)</f>
        <v>0</v>
      </c>
      <c r="I77" s="29" t="b">
        <f t="shared" si="18"/>
        <v>0</v>
      </c>
      <c r="J77" s="29" t="str">
        <f t="shared" si="19"/>
        <v/>
      </c>
      <c r="K77" s="29" t="e">
        <f t="shared" si="20"/>
        <v>#VALUE!</v>
      </c>
      <c r="M77" s="29">
        <v>4</v>
      </c>
      <c r="N77" s="29" t="e">
        <f t="shared" si="21"/>
        <v>#N/A</v>
      </c>
      <c r="O77" s="29" t="e">
        <f t="shared" si="22"/>
        <v>#N/A</v>
      </c>
      <c r="P77" s="29" t="e">
        <f t="shared" si="23"/>
        <v>#N/A</v>
      </c>
      <c r="S77" s="30" t="e">
        <f t="shared" si="24"/>
        <v>#VALUE!</v>
      </c>
      <c r="T77" s="43" t="e">
        <f t="shared" si="25"/>
        <v>#VALUE!</v>
      </c>
      <c r="V77" s="28" t="s">
        <v>107</v>
      </c>
      <c r="W77" s="28" t="s">
        <v>57</v>
      </c>
      <c r="X77" s="28" t="s">
        <v>108</v>
      </c>
      <c r="Y77" s="28" t="s">
        <v>119</v>
      </c>
    </row>
    <row r="78" spans="1:25">
      <c r="A78" s="28" t="str">
        <f t="shared" si="17"/>
        <v/>
      </c>
      <c r="C78" s="29">
        <v>0.1</v>
      </c>
      <c r="D78" s="29">
        <f>IF(AND(0.01&lt;$D$74,$D$74&lt;=0.1),0.1,0)</f>
        <v>0</v>
      </c>
      <c r="I78" s="29" t="b">
        <f t="shared" si="18"/>
        <v>0</v>
      </c>
      <c r="J78" s="29" t="str">
        <f t="shared" si="19"/>
        <v/>
      </c>
      <c r="K78" s="29" t="e">
        <f t="shared" si="20"/>
        <v>#VALUE!</v>
      </c>
      <c r="M78" s="29">
        <v>5</v>
      </c>
      <c r="N78" s="29" t="e">
        <f t="shared" si="21"/>
        <v>#N/A</v>
      </c>
      <c r="O78" s="29" t="e">
        <f t="shared" si="22"/>
        <v>#N/A</v>
      </c>
      <c r="P78" s="29" t="e">
        <f t="shared" si="23"/>
        <v>#N/A</v>
      </c>
      <c r="S78" s="30" t="e">
        <f t="shared" si="24"/>
        <v>#VALUE!</v>
      </c>
      <c r="T78" s="43" t="e">
        <f t="shared" si="25"/>
        <v>#VALUE!</v>
      </c>
      <c r="V78" s="28" t="s">
        <v>120</v>
      </c>
      <c r="W78" s="41" t="e">
        <f>EXP(Y78)</f>
        <v>#DIV/0!</v>
      </c>
      <c r="X78" s="28">
        <v>2.5</v>
      </c>
      <c r="Y78" s="28" t="e">
        <f>(X78-W75)/W74</f>
        <v>#DIV/0!</v>
      </c>
    </row>
    <row r="79" spans="1:25">
      <c r="A79" s="28" t="str">
        <f t="shared" si="17"/>
        <v/>
      </c>
      <c r="C79" s="29">
        <v>1</v>
      </c>
      <c r="D79" s="29">
        <f>IF(AND(0.1&lt;$D$74,$D$74&lt;=1),1,0)</f>
        <v>0</v>
      </c>
      <c r="I79" s="29" t="b">
        <f t="shared" si="18"/>
        <v>0</v>
      </c>
      <c r="J79" s="29" t="str">
        <f t="shared" si="19"/>
        <v/>
      </c>
      <c r="K79" s="29" t="e">
        <f t="shared" si="20"/>
        <v>#VALUE!</v>
      </c>
      <c r="M79" s="29">
        <v>6</v>
      </c>
      <c r="N79" s="29" t="e">
        <f t="shared" si="21"/>
        <v>#N/A</v>
      </c>
      <c r="O79" s="29" t="e">
        <f t="shared" si="22"/>
        <v>#N/A</v>
      </c>
      <c r="P79" s="29" t="e">
        <f t="shared" si="23"/>
        <v>#N/A</v>
      </c>
      <c r="S79" s="30" t="e">
        <f t="shared" si="24"/>
        <v>#VALUE!</v>
      </c>
      <c r="T79" s="43" t="e">
        <f t="shared" si="25"/>
        <v>#VALUE!</v>
      </c>
      <c r="V79" s="28" t="s">
        <v>121</v>
      </c>
      <c r="W79" s="41" t="e">
        <f>EXP(Y79)</f>
        <v>#DIV/0!</v>
      </c>
      <c r="X79" s="28">
        <v>7.33</v>
      </c>
      <c r="Y79" s="28" t="e">
        <f>(X79-W75)/W74</f>
        <v>#DIV/0!</v>
      </c>
    </row>
    <row r="80" spans="1:25">
      <c r="A80" s="28" t="str">
        <f t="shared" si="17"/>
        <v/>
      </c>
      <c r="C80" s="29">
        <v>10</v>
      </c>
      <c r="D80" s="29">
        <f>IF(AND(1&lt;$D$74,$D$74&lt;=10),10,0)</f>
        <v>0</v>
      </c>
      <c r="I80" s="29" t="b">
        <f t="shared" si="18"/>
        <v>0</v>
      </c>
      <c r="J80" s="29" t="str">
        <f t="shared" si="19"/>
        <v/>
      </c>
      <c r="K80" s="29" t="e">
        <f t="shared" si="20"/>
        <v>#VALUE!</v>
      </c>
      <c r="M80" s="29">
        <v>7</v>
      </c>
      <c r="N80" s="29" t="e">
        <f t="shared" si="21"/>
        <v>#N/A</v>
      </c>
      <c r="O80" s="29" t="e">
        <f t="shared" si="22"/>
        <v>#N/A</v>
      </c>
      <c r="P80" s="29" t="e">
        <f t="shared" si="23"/>
        <v>#N/A</v>
      </c>
      <c r="S80" s="30" t="e">
        <f t="shared" si="24"/>
        <v>#VALUE!</v>
      </c>
      <c r="T80" s="43" t="e">
        <f t="shared" si="25"/>
        <v>#VALUE!</v>
      </c>
    </row>
    <row r="81" spans="1:31">
      <c r="A81" s="28">
        <f t="shared" si="17"/>
        <v>0</v>
      </c>
      <c r="C81" s="29">
        <v>100</v>
      </c>
      <c r="D81" s="29">
        <f>IF(AND(10&lt;$D$74,$D$74&lt;=100),100,0)</f>
        <v>0</v>
      </c>
      <c r="I81" s="29" t="b">
        <f t="shared" si="18"/>
        <v>0</v>
      </c>
      <c r="J81" s="29" t="e">
        <f t="shared" si="19"/>
        <v>#N/A</v>
      </c>
      <c r="K81" s="29" t="e">
        <f t="shared" si="20"/>
        <v>#N/A</v>
      </c>
      <c r="M81" s="29">
        <v>8</v>
      </c>
      <c r="N81" s="29" t="e">
        <f t="shared" si="21"/>
        <v>#N/A</v>
      </c>
      <c r="O81" s="29" t="e">
        <f t="shared" si="22"/>
        <v>#N/A</v>
      </c>
      <c r="P81" s="29" t="e">
        <f t="shared" si="23"/>
        <v>#N/A</v>
      </c>
      <c r="S81" s="30" t="e">
        <f t="shared" si="24"/>
        <v>#N/A</v>
      </c>
      <c r="T81" s="43" t="e">
        <f t="shared" si="25"/>
        <v>#N/A</v>
      </c>
    </row>
    <row r="82" spans="1:31">
      <c r="A82" s="28">
        <f t="shared" si="17"/>
        <v>0</v>
      </c>
      <c r="C82" s="29">
        <v>1000</v>
      </c>
      <c r="D82" s="29">
        <f>IF(AND(100&lt;$D$74,$D$74&lt;=1000),1000,0)</f>
        <v>0</v>
      </c>
      <c r="I82" s="29" t="b">
        <f t="shared" si="18"/>
        <v>0</v>
      </c>
      <c r="J82" s="29" t="e">
        <f t="shared" si="19"/>
        <v>#N/A</v>
      </c>
      <c r="K82" s="29" t="e">
        <f t="shared" si="20"/>
        <v>#N/A</v>
      </c>
      <c r="M82" s="29">
        <v>9</v>
      </c>
      <c r="N82" s="29" t="e">
        <f t="shared" si="21"/>
        <v>#N/A</v>
      </c>
      <c r="O82" s="29" t="e">
        <f t="shared" si="22"/>
        <v>#N/A</v>
      </c>
      <c r="P82" s="29" t="e">
        <f t="shared" si="23"/>
        <v>#N/A</v>
      </c>
      <c r="S82" s="30" t="e">
        <f t="shared" si="24"/>
        <v>#N/A</v>
      </c>
      <c r="T82" s="43" t="e">
        <f t="shared" si="25"/>
        <v>#N/A</v>
      </c>
      <c r="Z82" s="28" t="s">
        <v>122</v>
      </c>
      <c r="AD82" s="28" t="s">
        <v>123</v>
      </c>
    </row>
    <row r="83" spans="1:31">
      <c r="A83" s="28">
        <f t="shared" si="17"/>
        <v>0</v>
      </c>
      <c r="C83" s="29">
        <v>10000</v>
      </c>
      <c r="D83" s="29">
        <f>IF(AND(1000&lt;$D$74,$D$74&lt;=10000),10000,0)</f>
        <v>0</v>
      </c>
      <c r="I83" s="29" t="b">
        <f t="shared" si="18"/>
        <v>0</v>
      </c>
      <c r="J83" s="29" t="e">
        <f t="shared" si="19"/>
        <v>#N/A</v>
      </c>
      <c r="K83" s="29" t="e">
        <f t="shared" si="20"/>
        <v>#N/A</v>
      </c>
      <c r="M83" s="29">
        <v>10</v>
      </c>
      <c r="N83" s="29" t="e">
        <f t="shared" si="21"/>
        <v>#N/A</v>
      </c>
      <c r="O83" s="29" t="e">
        <f t="shared" si="22"/>
        <v>#N/A</v>
      </c>
      <c r="P83" s="29" t="e">
        <f t="shared" si="23"/>
        <v>#N/A</v>
      </c>
      <c r="S83" s="30" t="e">
        <f t="shared" si="24"/>
        <v>#N/A</v>
      </c>
      <c r="T83" s="43" t="e">
        <f t="shared" si="25"/>
        <v>#N/A</v>
      </c>
      <c r="V83" s="28" t="s">
        <v>124</v>
      </c>
      <c r="X83" s="28" t="s">
        <v>125</v>
      </c>
      <c r="Z83" s="28" t="s">
        <v>126</v>
      </c>
      <c r="AA83" s="28">
        <f>NORMSINV(0.95)</f>
        <v>1.6448536269514715</v>
      </c>
      <c r="AD83" s="28" t="s">
        <v>127</v>
      </c>
      <c r="AE83" s="38">
        <f>T10</f>
        <v>0</v>
      </c>
    </row>
    <row r="84" spans="1:31">
      <c r="A84" s="28">
        <f t="shared" si="17"/>
        <v>0</v>
      </c>
      <c r="D84" s="36">
        <f>SUM(D75:D83)</f>
        <v>0</v>
      </c>
      <c r="I84" s="29" t="b">
        <f t="shared" si="18"/>
        <v>0</v>
      </c>
      <c r="J84" s="29" t="e">
        <f t="shared" si="19"/>
        <v>#N/A</v>
      </c>
      <c r="K84" s="29" t="e">
        <f t="shared" si="20"/>
        <v>#N/A</v>
      </c>
      <c r="M84" s="29">
        <v>11</v>
      </c>
      <c r="N84" s="29" t="e">
        <f t="shared" si="21"/>
        <v>#N/A</v>
      </c>
      <c r="O84" s="29" t="e">
        <f t="shared" si="22"/>
        <v>#N/A</v>
      </c>
      <c r="P84" s="29" t="e">
        <f t="shared" si="23"/>
        <v>#N/A</v>
      </c>
      <c r="S84" s="30" t="e">
        <f t="shared" si="24"/>
        <v>#N/A</v>
      </c>
      <c r="T84" s="43" t="e">
        <f t="shared" si="25"/>
        <v>#N/A</v>
      </c>
      <c r="V84" s="28" t="s">
        <v>128</v>
      </c>
      <c r="W84" s="38" t="e">
        <f>T20</f>
        <v>#DIV/0!</v>
      </c>
      <c r="Z84" s="28" t="s">
        <v>129</v>
      </c>
      <c r="AA84" s="28" t="e">
        <f>NORMSINV(LOGNORMDIST($B$6,$W$84,$W$85))</f>
        <v>#DIV/0!</v>
      </c>
      <c r="AB84" s="28" t="e">
        <f>LOGNORMDIST($B$6,$W$84,$W$85)</f>
        <v>#DIV/0!</v>
      </c>
      <c r="AD84" s="28" t="s">
        <v>130</v>
      </c>
      <c r="AE84" s="38" t="e">
        <f>T20</f>
        <v>#DIV/0!</v>
      </c>
    </row>
    <row r="85" spans="1:31">
      <c r="A85" s="28">
        <f t="shared" si="17"/>
        <v>0</v>
      </c>
      <c r="I85" s="29" t="b">
        <f t="shared" si="18"/>
        <v>0</v>
      </c>
      <c r="J85" s="29" t="e">
        <f t="shared" si="19"/>
        <v>#N/A</v>
      </c>
      <c r="K85" s="29" t="e">
        <f t="shared" si="20"/>
        <v>#N/A</v>
      </c>
      <c r="M85" s="29">
        <v>12</v>
      </c>
      <c r="N85" s="29" t="e">
        <f t="shared" si="21"/>
        <v>#N/A</v>
      </c>
      <c r="O85" s="29" t="e">
        <f t="shared" si="22"/>
        <v>#N/A</v>
      </c>
      <c r="P85" s="29" t="e">
        <f t="shared" si="23"/>
        <v>#N/A</v>
      </c>
      <c r="S85" s="30" t="e">
        <f t="shared" si="24"/>
        <v>#N/A</v>
      </c>
      <c r="T85" s="43" t="e">
        <f t="shared" si="25"/>
        <v>#N/A</v>
      </c>
      <c r="V85" s="28" t="s">
        <v>131</v>
      </c>
      <c r="W85" s="38" t="e">
        <f>T21</f>
        <v>#DIV/0!</v>
      </c>
      <c r="Z85" s="28" t="s">
        <v>132</v>
      </c>
      <c r="AA85" s="28">
        <f>(1/((2*$W$86)-3))-(1/($AA$83^2))</f>
        <v>-0.7029448428015288</v>
      </c>
      <c r="AD85" s="28" t="s">
        <v>133</v>
      </c>
      <c r="AE85" s="38" t="e">
        <f>T21</f>
        <v>#DIV/0!</v>
      </c>
    </row>
    <row r="86" spans="1:31">
      <c r="A86" s="28">
        <f t="shared" si="17"/>
        <v>0</v>
      </c>
      <c r="I86" s="29" t="b">
        <f t="shared" si="18"/>
        <v>0</v>
      </c>
      <c r="J86" s="29" t="e">
        <f t="shared" si="19"/>
        <v>#N/A</v>
      </c>
      <c r="K86" s="29" t="e">
        <f t="shared" si="20"/>
        <v>#N/A</v>
      </c>
      <c r="M86" s="29">
        <v>13</v>
      </c>
      <c r="N86" s="29" t="e">
        <f t="shared" si="21"/>
        <v>#N/A</v>
      </c>
      <c r="O86" s="29" t="e">
        <f t="shared" si="22"/>
        <v>#N/A</v>
      </c>
      <c r="P86" s="29" t="e">
        <f t="shared" si="23"/>
        <v>#N/A</v>
      </c>
      <c r="S86" s="30" t="e">
        <f t="shared" si="24"/>
        <v>#N/A</v>
      </c>
      <c r="T86" s="43" t="e">
        <f t="shared" si="25"/>
        <v>#N/A</v>
      </c>
      <c r="V86" s="28" t="s">
        <v>127</v>
      </c>
      <c r="W86" s="38">
        <f>T10</f>
        <v>0</v>
      </c>
      <c r="Z86" s="28" t="s">
        <v>134</v>
      </c>
      <c r="AA86" s="28" t="e">
        <f>((2*$AA$84)/($AA$83^2))*SQRT(((2*$W$86)-3)/((2*$W$86)-2))</f>
        <v>#DIV/0!</v>
      </c>
      <c r="AD86" s="28" t="s">
        <v>135</v>
      </c>
      <c r="AE86" s="28" t="e">
        <f>VLOOKUP(AE83,AD96:AE143,2)</f>
        <v>#N/A</v>
      </c>
    </row>
    <row r="87" spans="1:31">
      <c r="A87" s="28">
        <f t="shared" si="17"/>
        <v>0</v>
      </c>
      <c r="I87" s="29" t="b">
        <f t="shared" si="18"/>
        <v>0</v>
      </c>
      <c r="J87" s="29" t="e">
        <f t="shared" si="19"/>
        <v>#N/A</v>
      </c>
      <c r="K87" s="29" t="e">
        <f t="shared" si="20"/>
        <v>#N/A</v>
      </c>
      <c r="M87" s="29">
        <v>14</v>
      </c>
      <c r="N87" s="29" t="e">
        <f t="shared" si="21"/>
        <v>#N/A</v>
      </c>
      <c r="O87" s="29" t="e">
        <f t="shared" si="22"/>
        <v>#N/A</v>
      </c>
      <c r="P87" s="29" t="e">
        <f t="shared" si="23"/>
        <v>#N/A</v>
      </c>
      <c r="S87" s="30" t="e">
        <f t="shared" si="24"/>
        <v>#N/A</v>
      </c>
      <c r="T87" s="43" t="e">
        <f t="shared" si="25"/>
        <v>#N/A</v>
      </c>
      <c r="V87" s="28" t="s">
        <v>136</v>
      </c>
      <c r="W87" s="28" t="e">
        <f>((W85)^2)/2</f>
        <v>#DIV/0!</v>
      </c>
      <c r="Z87" s="28" t="s">
        <v>137</v>
      </c>
      <c r="AA87" s="28" t="e">
        <f>(1/$W$86)-((($AA$84^2)/($AA$83^2))*(((2*$W$86)-3)/((2*$W$86)-2)))</f>
        <v>#DIV/0!</v>
      </c>
      <c r="AD87" s="28" t="s">
        <v>138</v>
      </c>
      <c r="AE87" s="28" t="e">
        <f>EXP(AE84+(AE86*AE85))</f>
        <v>#DIV/0!</v>
      </c>
    </row>
    <row r="88" spans="1:31">
      <c r="A88" s="28">
        <f t="shared" si="17"/>
        <v>0</v>
      </c>
      <c r="I88" s="29" t="b">
        <f t="shared" si="18"/>
        <v>0</v>
      </c>
      <c r="J88" s="29" t="e">
        <f t="shared" si="19"/>
        <v>#N/A</v>
      </c>
      <c r="K88" s="29" t="e">
        <f t="shared" si="20"/>
        <v>#N/A</v>
      </c>
      <c r="M88" s="29">
        <v>15</v>
      </c>
      <c r="N88" s="29" t="e">
        <f t="shared" si="21"/>
        <v>#N/A</v>
      </c>
      <c r="O88" s="29" t="e">
        <f t="shared" si="22"/>
        <v>#N/A</v>
      </c>
      <c r="P88" s="29" t="e">
        <f t="shared" si="23"/>
        <v>#N/A</v>
      </c>
      <c r="S88" s="30" t="e">
        <f t="shared" si="24"/>
        <v>#N/A</v>
      </c>
      <c r="T88" s="43" t="e">
        <f t="shared" si="25"/>
        <v>#N/A</v>
      </c>
      <c r="W88" s="28">
        <v>1</v>
      </c>
      <c r="X88" s="28">
        <v>1</v>
      </c>
    </row>
    <row r="89" spans="1:31">
      <c r="A89" s="28">
        <f t="shared" si="17"/>
        <v>0</v>
      </c>
      <c r="I89" s="29" t="b">
        <f t="shared" si="18"/>
        <v>0</v>
      </c>
      <c r="J89" s="29" t="e">
        <f t="shared" si="19"/>
        <v>#N/A</v>
      </c>
      <c r="K89" s="29" t="e">
        <f t="shared" si="20"/>
        <v>#N/A</v>
      </c>
      <c r="M89" s="29">
        <v>16</v>
      </c>
      <c r="N89" s="29" t="e">
        <f t="shared" si="21"/>
        <v>#N/A</v>
      </c>
      <c r="O89" s="29" t="e">
        <f t="shared" si="22"/>
        <v>#N/A</v>
      </c>
      <c r="P89" s="29" t="e">
        <f t="shared" si="23"/>
        <v>#N/A</v>
      </c>
      <c r="S89" s="30" t="e">
        <f t="shared" si="24"/>
        <v>#N/A</v>
      </c>
      <c r="T89" s="43" t="e">
        <f t="shared" si="25"/>
        <v>#N/A</v>
      </c>
      <c r="V89" s="28" t="s">
        <v>139</v>
      </c>
      <c r="W89" s="28" t="e">
        <f>($W$86-1)*((($W$85)^2)/2)/$W$86</f>
        <v>#DIV/0!</v>
      </c>
      <c r="X89" s="28" t="e">
        <f>($W$86-1)*$W$87/$W$86</f>
        <v>#DIV/0!</v>
      </c>
      <c r="Z89" s="28" t="s">
        <v>140</v>
      </c>
      <c r="AA89" s="28" t="e">
        <f>$AA$86^2</f>
        <v>#DIV/0!</v>
      </c>
    </row>
    <row r="90" spans="1:31">
      <c r="A90" s="28">
        <f t="shared" si="17"/>
        <v>0</v>
      </c>
      <c r="I90" s="29" t="b">
        <f t="shared" si="18"/>
        <v>0</v>
      </c>
      <c r="J90" s="29" t="e">
        <f t="shared" si="19"/>
        <v>#N/A</v>
      </c>
      <c r="K90" s="29" t="e">
        <f t="shared" si="20"/>
        <v>#N/A</v>
      </c>
      <c r="M90" s="29">
        <v>17</v>
      </c>
      <c r="N90" s="29" t="e">
        <f t="shared" si="21"/>
        <v>#N/A</v>
      </c>
      <c r="O90" s="29" t="e">
        <f t="shared" si="22"/>
        <v>#N/A</v>
      </c>
      <c r="P90" s="29" t="e">
        <f t="shared" si="23"/>
        <v>#N/A</v>
      </c>
      <c r="S90" s="30" t="e">
        <f t="shared" si="24"/>
        <v>#N/A</v>
      </c>
      <c r="T90" s="43" t="e">
        <f t="shared" si="25"/>
        <v>#N/A</v>
      </c>
      <c r="V90" s="28" t="s">
        <v>141</v>
      </c>
      <c r="W90" s="28" t="e">
        <f>(($W$86-1)^3)*(((($W$85)^2)/2)^2)/(FACT(2)*(($W$86)^2)*($W$86+1))</f>
        <v>#DIV/0!</v>
      </c>
      <c r="X90" s="28" t="e">
        <f>(($W$86-1)^3)*(($W$87)^2)/((FACT(2))*(($W$86)^2)*($W$86+1))</f>
        <v>#DIV/0!</v>
      </c>
      <c r="Z90" s="28" t="s">
        <v>142</v>
      </c>
      <c r="AA90" s="28" t="e">
        <f>4*$AA$85*$AA$87</f>
        <v>#DIV/0!</v>
      </c>
      <c r="AB90" s="28" t="e">
        <f>AB91+AA90</f>
        <v>#DIV/0!</v>
      </c>
    </row>
    <row r="91" spans="1:31">
      <c r="A91" s="28">
        <f t="shared" si="17"/>
        <v>0</v>
      </c>
      <c r="I91" s="29" t="b">
        <f t="shared" si="18"/>
        <v>0</v>
      </c>
      <c r="J91" s="29" t="e">
        <f t="shared" si="19"/>
        <v>#N/A</v>
      </c>
      <c r="K91" s="29" t="e">
        <f t="shared" si="20"/>
        <v>#N/A</v>
      </c>
      <c r="M91" s="29">
        <v>18</v>
      </c>
      <c r="N91" s="29" t="e">
        <f t="shared" si="21"/>
        <v>#N/A</v>
      </c>
      <c r="O91" s="29" t="e">
        <f t="shared" si="22"/>
        <v>#N/A</v>
      </c>
      <c r="P91" s="29" t="e">
        <f t="shared" si="23"/>
        <v>#N/A</v>
      </c>
      <c r="S91" s="30" t="e">
        <f t="shared" si="24"/>
        <v>#N/A</v>
      </c>
      <c r="T91" s="43" t="e">
        <f t="shared" si="25"/>
        <v>#N/A</v>
      </c>
      <c r="V91" s="28" t="s">
        <v>143</v>
      </c>
      <c r="W91" s="28" t="e">
        <f>(($W$86-1)^5)*(((($W$85)^2)/2)^3)/(FACT(3)*(($W$86)^3)*($W$86+1)*($W$86+3))</f>
        <v>#DIV/0!</v>
      </c>
      <c r="X91" s="28" t="e">
        <f>(($W$86-1)^5)*(($W$87)^3)/((FACT(3))*(($W$86)^3)*($W$86+1)*($W$86+3))</f>
        <v>#DIV/0!</v>
      </c>
      <c r="Z91" s="28" t="s">
        <v>144</v>
      </c>
      <c r="AA91" s="28" t="e">
        <f>SQRT($AA$89-$AA$90)</f>
        <v>#DIV/0!</v>
      </c>
      <c r="AB91" s="28" t="e">
        <f>AA91^2</f>
        <v>#DIV/0!</v>
      </c>
    </row>
    <row r="92" spans="1:31">
      <c r="A92" s="28">
        <f t="shared" si="17"/>
        <v>0</v>
      </c>
      <c r="I92" s="29" t="b">
        <f t="shared" si="18"/>
        <v>0</v>
      </c>
      <c r="J92" s="29" t="e">
        <f t="shared" si="19"/>
        <v>#N/A</v>
      </c>
      <c r="K92" s="29" t="e">
        <f t="shared" si="20"/>
        <v>#N/A</v>
      </c>
      <c r="M92" s="29">
        <v>19</v>
      </c>
      <c r="N92" s="29" t="e">
        <f t="shared" si="21"/>
        <v>#N/A</v>
      </c>
      <c r="O92" s="29" t="e">
        <f t="shared" si="22"/>
        <v>#N/A</v>
      </c>
      <c r="P92" s="29" t="e">
        <f t="shared" si="23"/>
        <v>#N/A</v>
      </c>
      <c r="S92" s="30" t="e">
        <f t="shared" si="24"/>
        <v>#N/A</v>
      </c>
      <c r="T92" s="43" t="e">
        <f t="shared" si="25"/>
        <v>#N/A</v>
      </c>
      <c r="V92" s="28" t="s">
        <v>145</v>
      </c>
      <c r="W92" s="28" t="e">
        <f>(($W$86-1)^7)*(((($W$85)^2)/2)^4)/(FACT(4)*(($W$86)^4)*($W$86+1)*($W$86+3)*($W$86+5))</f>
        <v>#DIV/0!</v>
      </c>
      <c r="X92" s="28" t="e">
        <f>(($W$86-1)^7)*(($W$87)^4)/((FACT(4))*(($W$86)^4)*($W$86+1)*($W$86+3)*($W$86+5))</f>
        <v>#DIV/0!</v>
      </c>
      <c r="Z92" s="28" t="s">
        <v>146</v>
      </c>
      <c r="AA92" s="28">
        <f>2*$AA$85</f>
        <v>-1.4058896856030576</v>
      </c>
    </row>
    <row r="93" spans="1:31">
      <c r="A93" s="28">
        <f t="shared" si="17"/>
        <v>0</v>
      </c>
      <c r="I93" s="29" t="b">
        <f t="shared" si="18"/>
        <v>0</v>
      </c>
      <c r="J93" s="29" t="e">
        <f t="shared" si="19"/>
        <v>#N/A</v>
      </c>
      <c r="K93" s="29" t="e">
        <f t="shared" si="20"/>
        <v>#N/A</v>
      </c>
      <c r="M93" s="29">
        <v>20</v>
      </c>
      <c r="N93" s="29" t="e">
        <f t="shared" si="21"/>
        <v>#N/A</v>
      </c>
      <c r="O93" s="29" t="e">
        <f t="shared" si="22"/>
        <v>#N/A</v>
      </c>
      <c r="P93" s="29" t="e">
        <f t="shared" si="23"/>
        <v>#N/A</v>
      </c>
      <c r="S93" s="30" t="e">
        <f t="shared" si="24"/>
        <v>#N/A</v>
      </c>
      <c r="T93" s="43" t="e">
        <f t="shared" si="25"/>
        <v>#N/A</v>
      </c>
      <c r="V93" s="28" t="s">
        <v>147</v>
      </c>
      <c r="W93" s="28" t="e">
        <f>(($W$86-1)^9)*(((($W$85)^2)/2)^5)/(FACT(5)*(($W$86)^5)*($W$86+1)*($W$86+3)*($W$86+5)*($W$86+7))</f>
        <v>#DIV/0!</v>
      </c>
      <c r="X93" s="28" t="e">
        <f>(($W$86-1)^9)*(($W$87)^5)/((FACT(5))*(($W$86)^5)*($W$86+1)*($W$86+3)*($W$86+5)*($W$86+7))</f>
        <v>#DIV/0!</v>
      </c>
      <c r="Z93" s="28" t="s">
        <v>148</v>
      </c>
      <c r="AA93" s="28" t="e">
        <f>(-$AA$86-$AA$91)/$AA$92</f>
        <v>#DIV/0!</v>
      </c>
      <c r="AB93" s="28" t="e">
        <f>(-$AA$86+$AA$91)/$AA$92</f>
        <v>#DIV/0!</v>
      </c>
    </row>
    <row r="94" spans="1:31">
      <c r="A94" s="28">
        <f t="shared" si="17"/>
        <v>0</v>
      </c>
      <c r="I94" s="29" t="b">
        <f t="shared" si="18"/>
        <v>0</v>
      </c>
      <c r="J94" s="29" t="e">
        <f t="shared" si="19"/>
        <v>#N/A</v>
      </c>
      <c r="K94" s="29" t="e">
        <f t="shared" si="20"/>
        <v>#N/A</v>
      </c>
      <c r="M94" s="29">
        <v>21</v>
      </c>
      <c r="N94" s="29" t="e">
        <f t="shared" si="21"/>
        <v>#N/A</v>
      </c>
      <c r="O94" s="29" t="e">
        <f t="shared" si="22"/>
        <v>#N/A</v>
      </c>
      <c r="P94" s="29" t="e">
        <f t="shared" si="23"/>
        <v>#N/A</v>
      </c>
      <c r="S94" s="30" t="e">
        <f t="shared" si="24"/>
        <v>#N/A</v>
      </c>
      <c r="T94" s="43" t="e">
        <f t="shared" si="25"/>
        <v>#N/A</v>
      </c>
      <c r="V94" s="28" t="s">
        <v>149</v>
      </c>
      <c r="X94" s="28" t="e">
        <f>(($W$86-1)^11)*(($W$87)^6)/((FACT(6))*(($W$86)^6)*($W$86+1)*($W$86+3)*($W$86+5)*($W$86+7)*($W$86+9))</f>
        <v>#DIV/0!</v>
      </c>
      <c r="Z94" s="28" t="s">
        <v>150</v>
      </c>
      <c r="AA94" s="28" t="e">
        <f>100*(1-NORMSDIST($AA$93))</f>
        <v>#DIV/0!</v>
      </c>
      <c r="AB94" s="28" t="e">
        <f>100*(1-NORMSDIST($AB$93))</f>
        <v>#DIV/0!</v>
      </c>
      <c r="AD94" s="28" t="s">
        <v>151</v>
      </c>
    </row>
    <row r="95" spans="1:31">
      <c r="A95" s="28">
        <f t="shared" si="17"/>
        <v>0</v>
      </c>
      <c r="I95" s="29" t="b">
        <f t="shared" si="18"/>
        <v>0</v>
      </c>
      <c r="J95" s="29" t="e">
        <f t="shared" si="19"/>
        <v>#N/A</v>
      </c>
      <c r="K95" s="29" t="e">
        <f t="shared" si="20"/>
        <v>#N/A</v>
      </c>
      <c r="M95" s="29">
        <v>22</v>
      </c>
      <c r="N95" s="29" t="e">
        <f t="shared" si="21"/>
        <v>#N/A</v>
      </c>
      <c r="O95" s="29" t="e">
        <f t="shared" si="22"/>
        <v>#N/A</v>
      </c>
      <c r="P95" s="29" t="e">
        <f t="shared" si="23"/>
        <v>#N/A</v>
      </c>
      <c r="S95" s="30" t="e">
        <f t="shared" si="24"/>
        <v>#N/A</v>
      </c>
      <c r="T95" s="43" t="e">
        <f t="shared" si="25"/>
        <v>#N/A</v>
      </c>
      <c r="V95" s="28" t="s">
        <v>152</v>
      </c>
      <c r="W95" s="28" t="e">
        <f>SUM(W88:W93)</f>
        <v>#DIV/0!</v>
      </c>
      <c r="X95" s="28" t="e">
        <f>SUM(X88:X94)</f>
        <v>#DIV/0!</v>
      </c>
      <c r="AD95" s="28" t="s">
        <v>127</v>
      </c>
      <c r="AE95" s="28" t="s">
        <v>153</v>
      </c>
    </row>
    <row r="96" spans="1:31">
      <c r="A96" s="28">
        <f t="shared" si="17"/>
        <v>0</v>
      </c>
      <c r="I96" s="29" t="b">
        <f t="shared" si="18"/>
        <v>0</v>
      </c>
      <c r="J96" s="29" t="e">
        <f t="shared" si="19"/>
        <v>#N/A</v>
      </c>
      <c r="K96" s="29" t="e">
        <f t="shared" si="20"/>
        <v>#N/A</v>
      </c>
      <c r="M96" s="29">
        <v>23</v>
      </c>
      <c r="N96" s="29" t="e">
        <f t="shared" si="21"/>
        <v>#N/A</v>
      </c>
      <c r="O96" s="29" t="e">
        <f t="shared" si="22"/>
        <v>#N/A</v>
      </c>
      <c r="P96" s="29" t="e">
        <f t="shared" si="23"/>
        <v>#N/A</v>
      </c>
      <c r="S96" s="30" t="e">
        <f t="shared" si="24"/>
        <v>#N/A</v>
      </c>
      <c r="T96" s="43" t="e">
        <f t="shared" si="25"/>
        <v>#N/A</v>
      </c>
      <c r="V96" s="28" t="s">
        <v>154</v>
      </c>
      <c r="W96" s="28" t="e">
        <f>EXP(W84)*W95</f>
        <v>#DIV/0!</v>
      </c>
      <c r="X96" s="28" t="e">
        <f>EXP(W84)*X95</f>
        <v>#DIV/0!</v>
      </c>
      <c r="AD96" s="28">
        <v>3</v>
      </c>
      <c r="AE96" s="28">
        <v>7.6550000000000002</v>
      </c>
    </row>
    <row r="97" spans="1:31">
      <c r="A97" s="28">
        <f t="shared" si="17"/>
        <v>0</v>
      </c>
      <c r="I97" s="29" t="b">
        <f t="shared" si="18"/>
        <v>0</v>
      </c>
      <c r="J97" s="29" t="e">
        <f t="shared" si="19"/>
        <v>#N/A</v>
      </c>
      <c r="K97" s="29" t="e">
        <f t="shared" si="20"/>
        <v>#N/A</v>
      </c>
      <c r="M97" s="29">
        <v>24</v>
      </c>
      <c r="N97" s="29" t="e">
        <f t="shared" si="21"/>
        <v>#N/A</v>
      </c>
      <c r="O97" s="29" t="e">
        <f t="shared" si="22"/>
        <v>#N/A</v>
      </c>
      <c r="P97" s="29" t="e">
        <f t="shared" si="23"/>
        <v>#N/A</v>
      </c>
      <c r="S97" s="30" t="e">
        <f t="shared" si="24"/>
        <v>#N/A</v>
      </c>
      <c r="T97" s="43" t="e">
        <f t="shared" si="25"/>
        <v>#N/A</v>
      </c>
      <c r="AD97" s="28">
        <v>4</v>
      </c>
      <c r="AE97" s="28">
        <v>5.1449999999999996</v>
      </c>
    </row>
    <row r="98" spans="1:31">
      <c r="A98" s="28">
        <f t="shared" si="17"/>
        <v>0</v>
      </c>
      <c r="I98" s="29" t="b">
        <f t="shared" si="18"/>
        <v>0</v>
      </c>
      <c r="J98" s="29" t="e">
        <f t="shared" si="19"/>
        <v>#N/A</v>
      </c>
      <c r="K98" s="29" t="e">
        <f t="shared" si="20"/>
        <v>#N/A</v>
      </c>
      <c r="M98" s="29">
        <v>25</v>
      </c>
      <c r="N98" s="29" t="e">
        <f t="shared" si="21"/>
        <v>#N/A</v>
      </c>
      <c r="O98" s="29" t="e">
        <f t="shared" si="22"/>
        <v>#N/A</v>
      </c>
      <c r="P98" s="29" t="e">
        <f t="shared" si="23"/>
        <v>#N/A</v>
      </c>
      <c r="S98" s="30" t="e">
        <f t="shared" si="24"/>
        <v>#N/A</v>
      </c>
      <c r="T98" s="43" t="e">
        <f t="shared" si="25"/>
        <v>#N/A</v>
      </c>
      <c r="V98" s="28" t="s">
        <v>155</v>
      </c>
      <c r="W98" s="28" t="e">
        <f>EXP(W84+((W85)^2)/2)</f>
        <v>#DIV/0!</v>
      </c>
      <c r="X98" s="28" t="e">
        <f>EXP(W84)*EXP(W87)</f>
        <v>#DIV/0!</v>
      </c>
      <c r="AD98" s="28">
        <v>5</v>
      </c>
      <c r="AE98" s="28">
        <v>4.202</v>
      </c>
    </row>
    <row r="99" spans="1:31">
      <c r="A99" s="28">
        <f t="shared" si="17"/>
        <v>0</v>
      </c>
      <c r="I99" s="29" t="b">
        <f t="shared" si="18"/>
        <v>0</v>
      </c>
      <c r="J99" s="29" t="e">
        <f t="shared" si="19"/>
        <v>#N/A</v>
      </c>
      <c r="K99" s="29" t="e">
        <f t="shared" si="20"/>
        <v>#N/A</v>
      </c>
      <c r="M99" s="29">
        <v>26</v>
      </c>
      <c r="N99" s="29" t="e">
        <f t="shared" si="21"/>
        <v>#N/A</v>
      </c>
      <c r="O99" s="29" t="e">
        <f t="shared" si="22"/>
        <v>#N/A</v>
      </c>
      <c r="P99" s="29" t="e">
        <f t="shared" si="23"/>
        <v>#N/A</v>
      </c>
      <c r="S99" s="30" t="e">
        <f t="shared" si="24"/>
        <v>#N/A</v>
      </c>
      <c r="T99" s="43" t="e">
        <f t="shared" si="25"/>
        <v>#N/A</v>
      </c>
      <c r="AD99" s="28">
        <v>6</v>
      </c>
      <c r="AE99" s="28">
        <v>3.7069999999999999</v>
      </c>
    </row>
    <row r="100" spans="1:31">
      <c r="A100" s="28">
        <f t="shared" si="17"/>
        <v>0</v>
      </c>
      <c r="I100" s="29" t="b">
        <f t="shared" si="18"/>
        <v>0</v>
      </c>
      <c r="J100" s="29" t="e">
        <f t="shared" si="19"/>
        <v>#N/A</v>
      </c>
      <c r="K100" s="29" t="e">
        <f t="shared" si="20"/>
        <v>#N/A</v>
      </c>
      <c r="M100" s="29">
        <v>27</v>
      </c>
      <c r="N100" s="29" t="e">
        <f t="shared" si="21"/>
        <v>#N/A</v>
      </c>
      <c r="O100" s="29" t="e">
        <f t="shared" si="22"/>
        <v>#N/A</v>
      </c>
      <c r="P100" s="29" t="e">
        <f t="shared" si="23"/>
        <v>#N/A</v>
      </c>
      <c r="S100" s="30" t="e">
        <f t="shared" si="24"/>
        <v>#N/A</v>
      </c>
      <c r="T100" s="43" t="e">
        <f t="shared" si="25"/>
        <v>#N/A</v>
      </c>
      <c r="AD100" s="28">
        <v>7</v>
      </c>
      <c r="AE100" s="28">
        <v>3.399</v>
      </c>
    </row>
    <row r="101" spans="1:31">
      <c r="A101" s="28">
        <f t="shared" si="17"/>
        <v>0</v>
      </c>
      <c r="I101" s="29" t="b">
        <f t="shared" si="18"/>
        <v>0</v>
      </c>
      <c r="J101" s="29" t="e">
        <f t="shared" si="19"/>
        <v>#N/A</v>
      </c>
      <c r="K101" s="29" t="e">
        <f t="shared" si="20"/>
        <v>#N/A</v>
      </c>
      <c r="M101" s="29">
        <v>28</v>
      </c>
      <c r="N101" s="29" t="e">
        <f t="shared" si="21"/>
        <v>#N/A</v>
      </c>
      <c r="O101" s="29" t="e">
        <f t="shared" si="22"/>
        <v>#N/A</v>
      </c>
      <c r="P101" s="29" t="e">
        <f t="shared" si="23"/>
        <v>#N/A</v>
      </c>
      <c r="S101" s="30" t="e">
        <f t="shared" si="24"/>
        <v>#N/A</v>
      </c>
      <c r="T101" s="43" t="e">
        <f t="shared" si="25"/>
        <v>#N/A</v>
      </c>
      <c r="AD101" s="28">
        <v>8</v>
      </c>
      <c r="AE101" s="28">
        <v>3.1880000000000002</v>
      </c>
    </row>
    <row r="102" spans="1:31">
      <c r="A102" s="28">
        <f t="shared" si="17"/>
        <v>0</v>
      </c>
      <c r="I102" s="29" t="b">
        <f t="shared" si="18"/>
        <v>0</v>
      </c>
      <c r="J102" s="29" t="e">
        <f t="shared" si="19"/>
        <v>#N/A</v>
      </c>
      <c r="K102" s="29" t="e">
        <f t="shared" si="20"/>
        <v>#N/A</v>
      </c>
      <c r="M102" s="29">
        <v>29</v>
      </c>
      <c r="N102" s="29" t="e">
        <f t="shared" si="21"/>
        <v>#N/A</v>
      </c>
      <c r="O102" s="29" t="e">
        <f t="shared" si="22"/>
        <v>#N/A</v>
      </c>
      <c r="P102" s="29" t="e">
        <f t="shared" si="23"/>
        <v>#N/A</v>
      </c>
      <c r="S102" s="30" t="e">
        <f t="shared" si="24"/>
        <v>#N/A</v>
      </c>
      <c r="T102" s="43" t="e">
        <f t="shared" si="25"/>
        <v>#N/A</v>
      </c>
      <c r="AD102" s="28">
        <v>9</v>
      </c>
      <c r="AE102" s="28">
        <v>3.0310000000000001</v>
      </c>
    </row>
    <row r="103" spans="1:31">
      <c r="A103" s="28">
        <f t="shared" si="17"/>
        <v>0</v>
      </c>
      <c r="I103" s="29" t="b">
        <f t="shared" si="18"/>
        <v>0</v>
      </c>
      <c r="J103" s="29" t="e">
        <f t="shared" si="19"/>
        <v>#N/A</v>
      </c>
      <c r="K103" s="29" t="e">
        <f t="shared" si="20"/>
        <v>#N/A</v>
      </c>
      <c r="M103" s="29">
        <v>30</v>
      </c>
      <c r="N103" s="29" t="e">
        <f t="shared" si="21"/>
        <v>#N/A</v>
      </c>
      <c r="O103" s="29" t="e">
        <f t="shared" si="22"/>
        <v>#N/A</v>
      </c>
      <c r="P103" s="29" t="e">
        <f t="shared" si="23"/>
        <v>#N/A</v>
      </c>
      <c r="S103" s="30" t="e">
        <f t="shared" si="24"/>
        <v>#N/A</v>
      </c>
      <c r="T103" s="43" t="e">
        <f t="shared" si="25"/>
        <v>#N/A</v>
      </c>
      <c r="AD103" s="28">
        <v>10</v>
      </c>
      <c r="AE103" s="28">
        <v>2.911</v>
      </c>
    </row>
    <row r="104" spans="1:31">
      <c r="A104" s="28">
        <f t="shared" si="17"/>
        <v>0</v>
      </c>
      <c r="I104" s="29" t="b">
        <f t="shared" si="18"/>
        <v>0</v>
      </c>
      <c r="J104" s="29" t="e">
        <f t="shared" si="19"/>
        <v>#N/A</v>
      </c>
      <c r="K104" s="29" t="e">
        <f t="shared" si="20"/>
        <v>#N/A</v>
      </c>
      <c r="M104" s="29">
        <v>31</v>
      </c>
      <c r="N104" s="29" t="e">
        <f t="shared" si="21"/>
        <v>#N/A</v>
      </c>
      <c r="O104" s="29" t="e">
        <f t="shared" si="22"/>
        <v>#N/A</v>
      </c>
      <c r="P104" s="29" t="e">
        <f t="shared" si="23"/>
        <v>#N/A</v>
      </c>
      <c r="S104" s="30" t="e">
        <f t="shared" si="24"/>
        <v>#N/A</v>
      </c>
      <c r="T104" s="43" t="e">
        <f t="shared" si="25"/>
        <v>#N/A</v>
      </c>
      <c r="AD104" s="28">
        <v>11</v>
      </c>
      <c r="AE104" s="28">
        <v>2.8149999999999999</v>
      </c>
    </row>
    <row r="105" spans="1:31">
      <c r="A105" s="28">
        <f t="shared" si="17"/>
        <v>0</v>
      </c>
      <c r="I105" s="29" t="b">
        <f t="shared" si="18"/>
        <v>0</v>
      </c>
      <c r="J105" s="29" t="e">
        <f t="shared" si="19"/>
        <v>#N/A</v>
      </c>
      <c r="K105" s="29" t="e">
        <f t="shared" si="20"/>
        <v>#N/A</v>
      </c>
      <c r="M105" s="29">
        <v>32</v>
      </c>
      <c r="N105" s="29" t="e">
        <f t="shared" si="21"/>
        <v>#N/A</v>
      </c>
      <c r="O105" s="29" t="e">
        <f t="shared" si="22"/>
        <v>#N/A</v>
      </c>
      <c r="P105" s="29" t="e">
        <f t="shared" si="23"/>
        <v>#N/A</v>
      </c>
      <c r="S105" s="30" t="e">
        <f t="shared" si="24"/>
        <v>#N/A</v>
      </c>
      <c r="T105" s="43" t="e">
        <f t="shared" si="25"/>
        <v>#N/A</v>
      </c>
      <c r="AD105" s="28">
        <v>12</v>
      </c>
      <c r="AE105" s="28">
        <v>2.7360000000000002</v>
      </c>
    </row>
    <row r="106" spans="1:31">
      <c r="A106" s="28">
        <f t="shared" ref="A106:A124" si="26">A42</f>
        <v>0</v>
      </c>
      <c r="I106" s="29" t="b">
        <f t="shared" ref="I106:I123" si="27">IF(ISNUMBER(J106),M106)</f>
        <v>0</v>
      </c>
      <c r="J106" s="29" t="e">
        <f t="shared" ref="J106:J123" si="28">IF(A106&gt;0,A106,NA())</f>
        <v>#N/A</v>
      </c>
      <c r="K106" s="29" t="e">
        <f t="shared" ref="K106:K124" si="29">NORMSINV(S106)+5</f>
        <v>#N/A</v>
      </c>
      <c r="M106" s="29">
        <v>33</v>
      </c>
      <c r="N106" s="29" t="e">
        <f t="shared" ref="N106:N123" si="30">IF(M106&lt;$T$10+1,SMALL($A$10:$A$60,M106),NA())</f>
        <v>#N/A</v>
      </c>
      <c r="O106" s="29" t="e">
        <f t="shared" ref="O106:O123" si="31">NORMSINV(P106)+5</f>
        <v>#N/A</v>
      </c>
      <c r="P106" s="29" t="e">
        <f t="shared" ref="P106:P123" si="32">IF(M106&lt;$T$10+1,((M106)/($T$10+1)),NA())</f>
        <v>#N/A</v>
      </c>
      <c r="S106" s="30" t="e">
        <f t="shared" ref="S106:S124" si="33">((T106-0.5)/$T$10)</f>
        <v>#N/A</v>
      </c>
      <c r="T106" s="43" t="e">
        <f t="shared" ref="T106:T124" si="34">RANK(A42,$A$10:$A$60, 1)</f>
        <v>#N/A</v>
      </c>
      <c r="AD106" s="28">
        <v>13</v>
      </c>
      <c r="AE106" s="28">
        <v>2.67</v>
      </c>
    </row>
    <row r="107" spans="1:31">
      <c r="A107" s="28">
        <f t="shared" si="26"/>
        <v>0</v>
      </c>
      <c r="I107" s="29" t="b">
        <f t="shared" si="27"/>
        <v>0</v>
      </c>
      <c r="J107" s="29" t="e">
        <f t="shared" si="28"/>
        <v>#N/A</v>
      </c>
      <c r="K107" s="29" t="e">
        <f t="shared" si="29"/>
        <v>#N/A</v>
      </c>
      <c r="M107" s="29">
        <v>34</v>
      </c>
      <c r="N107" s="29" t="e">
        <f t="shared" si="30"/>
        <v>#N/A</v>
      </c>
      <c r="O107" s="29" t="e">
        <f t="shared" si="31"/>
        <v>#N/A</v>
      </c>
      <c r="P107" s="29" t="e">
        <f t="shared" si="32"/>
        <v>#N/A</v>
      </c>
      <c r="S107" s="30" t="e">
        <f t="shared" si="33"/>
        <v>#N/A</v>
      </c>
      <c r="T107" s="43" t="e">
        <f t="shared" si="34"/>
        <v>#N/A</v>
      </c>
      <c r="AD107" s="28">
        <v>14</v>
      </c>
      <c r="AE107" s="28">
        <v>2.6139999999999999</v>
      </c>
    </row>
    <row r="108" spans="1:31">
      <c r="A108" s="28">
        <f t="shared" si="26"/>
        <v>0</v>
      </c>
      <c r="I108" s="29" t="b">
        <f t="shared" si="27"/>
        <v>0</v>
      </c>
      <c r="J108" s="29" t="e">
        <f t="shared" si="28"/>
        <v>#N/A</v>
      </c>
      <c r="K108" s="29" t="e">
        <f t="shared" si="29"/>
        <v>#N/A</v>
      </c>
      <c r="M108" s="29">
        <v>35</v>
      </c>
      <c r="N108" s="29" t="e">
        <f t="shared" si="30"/>
        <v>#N/A</v>
      </c>
      <c r="O108" s="29" t="e">
        <f t="shared" si="31"/>
        <v>#N/A</v>
      </c>
      <c r="P108" s="29" t="e">
        <f t="shared" si="32"/>
        <v>#N/A</v>
      </c>
      <c r="S108" s="30" t="e">
        <f t="shared" si="33"/>
        <v>#N/A</v>
      </c>
      <c r="T108" s="43" t="e">
        <f t="shared" si="34"/>
        <v>#N/A</v>
      </c>
      <c r="AD108" s="28">
        <v>15</v>
      </c>
      <c r="AE108" s="28">
        <v>2.5659999999999998</v>
      </c>
    </row>
    <row r="109" spans="1:31">
      <c r="A109" s="28">
        <f t="shared" si="26"/>
        <v>0</v>
      </c>
      <c r="I109" s="29" t="b">
        <f t="shared" si="27"/>
        <v>0</v>
      </c>
      <c r="J109" s="29" t="e">
        <f t="shared" si="28"/>
        <v>#N/A</v>
      </c>
      <c r="K109" s="29" t="e">
        <f t="shared" si="29"/>
        <v>#N/A</v>
      </c>
      <c r="M109" s="29">
        <v>36</v>
      </c>
      <c r="N109" s="29" t="e">
        <f t="shared" si="30"/>
        <v>#N/A</v>
      </c>
      <c r="O109" s="29" t="e">
        <f t="shared" si="31"/>
        <v>#N/A</v>
      </c>
      <c r="P109" s="29" t="e">
        <f t="shared" si="32"/>
        <v>#N/A</v>
      </c>
      <c r="S109" s="30" t="e">
        <f t="shared" si="33"/>
        <v>#N/A</v>
      </c>
      <c r="T109" s="43" t="e">
        <f t="shared" si="34"/>
        <v>#N/A</v>
      </c>
      <c r="AD109" s="28">
        <v>16</v>
      </c>
      <c r="AE109" s="28">
        <v>2.5230000000000001</v>
      </c>
    </row>
    <row r="110" spans="1:31">
      <c r="A110" s="28">
        <f t="shared" si="26"/>
        <v>0</v>
      </c>
      <c r="I110" s="29" t="b">
        <f t="shared" si="27"/>
        <v>0</v>
      </c>
      <c r="J110" s="29" t="e">
        <f t="shared" si="28"/>
        <v>#N/A</v>
      </c>
      <c r="K110" s="29" t="e">
        <f t="shared" si="29"/>
        <v>#N/A</v>
      </c>
      <c r="M110" s="29">
        <v>37</v>
      </c>
      <c r="N110" s="29" t="e">
        <f t="shared" si="30"/>
        <v>#N/A</v>
      </c>
      <c r="O110" s="29" t="e">
        <f t="shared" si="31"/>
        <v>#N/A</v>
      </c>
      <c r="P110" s="29" t="e">
        <f t="shared" si="32"/>
        <v>#N/A</v>
      </c>
      <c r="S110" s="30" t="e">
        <f t="shared" si="33"/>
        <v>#N/A</v>
      </c>
      <c r="T110" s="43" t="e">
        <f t="shared" si="34"/>
        <v>#N/A</v>
      </c>
      <c r="AD110" s="28">
        <v>17</v>
      </c>
      <c r="AE110" s="28">
        <v>2.4860000000000002</v>
      </c>
    </row>
    <row r="111" spans="1:31">
      <c r="A111" s="28">
        <f t="shared" si="26"/>
        <v>0</v>
      </c>
      <c r="I111" s="29" t="b">
        <f t="shared" si="27"/>
        <v>0</v>
      </c>
      <c r="J111" s="29" t="e">
        <f t="shared" si="28"/>
        <v>#N/A</v>
      </c>
      <c r="K111" s="29" t="e">
        <f t="shared" si="29"/>
        <v>#N/A</v>
      </c>
      <c r="M111" s="29">
        <v>38</v>
      </c>
      <c r="N111" s="29" t="e">
        <f t="shared" si="30"/>
        <v>#N/A</v>
      </c>
      <c r="O111" s="29" t="e">
        <f t="shared" si="31"/>
        <v>#N/A</v>
      </c>
      <c r="P111" s="29" t="e">
        <f t="shared" si="32"/>
        <v>#N/A</v>
      </c>
      <c r="S111" s="30" t="e">
        <f t="shared" si="33"/>
        <v>#N/A</v>
      </c>
      <c r="T111" s="43" t="e">
        <f t="shared" si="34"/>
        <v>#N/A</v>
      </c>
      <c r="AD111" s="28">
        <v>18</v>
      </c>
      <c r="AE111" s="28">
        <v>2.4529999999999998</v>
      </c>
    </row>
    <row r="112" spans="1:31">
      <c r="A112" s="28">
        <f t="shared" si="26"/>
        <v>0</v>
      </c>
      <c r="I112" s="29" t="b">
        <f t="shared" si="27"/>
        <v>0</v>
      </c>
      <c r="J112" s="29" t="e">
        <f t="shared" si="28"/>
        <v>#N/A</v>
      </c>
      <c r="K112" s="29" t="e">
        <f t="shared" si="29"/>
        <v>#N/A</v>
      </c>
      <c r="M112" s="29">
        <v>39</v>
      </c>
      <c r="N112" s="29" t="e">
        <f t="shared" si="30"/>
        <v>#N/A</v>
      </c>
      <c r="O112" s="29" t="e">
        <f t="shared" si="31"/>
        <v>#N/A</v>
      </c>
      <c r="P112" s="29" t="e">
        <f t="shared" si="32"/>
        <v>#N/A</v>
      </c>
      <c r="S112" s="30" t="e">
        <f t="shared" si="33"/>
        <v>#N/A</v>
      </c>
      <c r="T112" s="43" t="e">
        <f t="shared" si="34"/>
        <v>#N/A</v>
      </c>
      <c r="AD112" s="28">
        <v>19</v>
      </c>
      <c r="AE112" s="28">
        <v>2.423</v>
      </c>
    </row>
    <row r="113" spans="1:32">
      <c r="A113" s="28">
        <f t="shared" si="26"/>
        <v>0</v>
      </c>
      <c r="I113" s="29" t="b">
        <f t="shared" si="27"/>
        <v>0</v>
      </c>
      <c r="J113" s="29" t="e">
        <f t="shared" si="28"/>
        <v>#N/A</v>
      </c>
      <c r="K113" s="29" t="e">
        <f t="shared" si="29"/>
        <v>#N/A</v>
      </c>
      <c r="M113" s="29">
        <v>40</v>
      </c>
      <c r="N113" s="29" t="e">
        <f t="shared" si="30"/>
        <v>#N/A</v>
      </c>
      <c r="O113" s="29" t="e">
        <f t="shared" si="31"/>
        <v>#N/A</v>
      </c>
      <c r="P113" s="29" t="e">
        <f t="shared" si="32"/>
        <v>#N/A</v>
      </c>
      <c r="S113" s="30" t="e">
        <f t="shared" si="33"/>
        <v>#N/A</v>
      </c>
      <c r="T113" s="43" t="e">
        <f t="shared" si="34"/>
        <v>#N/A</v>
      </c>
      <c r="AD113" s="28">
        <v>20</v>
      </c>
      <c r="AE113" s="28">
        <v>2.3959999999999999</v>
      </c>
    </row>
    <row r="114" spans="1:32">
      <c r="A114" s="28">
        <f t="shared" si="26"/>
        <v>0</v>
      </c>
      <c r="I114" s="29" t="b">
        <f t="shared" si="27"/>
        <v>0</v>
      </c>
      <c r="J114" s="29" t="e">
        <f t="shared" si="28"/>
        <v>#N/A</v>
      </c>
      <c r="K114" s="29" t="e">
        <f t="shared" si="29"/>
        <v>#N/A</v>
      </c>
      <c r="M114" s="29">
        <v>41</v>
      </c>
      <c r="N114" s="29" t="e">
        <f t="shared" si="30"/>
        <v>#N/A</v>
      </c>
      <c r="O114" s="29" t="e">
        <f t="shared" si="31"/>
        <v>#N/A</v>
      </c>
      <c r="P114" s="29" t="e">
        <f t="shared" si="32"/>
        <v>#N/A</v>
      </c>
      <c r="S114" s="30" t="e">
        <f t="shared" si="33"/>
        <v>#N/A</v>
      </c>
      <c r="T114" s="43" t="e">
        <f t="shared" si="34"/>
        <v>#N/A</v>
      </c>
      <c r="AD114" s="28">
        <v>21</v>
      </c>
      <c r="AE114" s="28">
        <v>2.371</v>
      </c>
    </row>
    <row r="115" spans="1:32">
      <c r="A115" s="28">
        <f t="shared" si="26"/>
        <v>0</v>
      </c>
      <c r="I115" s="29" t="b">
        <f t="shared" si="27"/>
        <v>0</v>
      </c>
      <c r="J115" s="29" t="e">
        <f t="shared" si="28"/>
        <v>#N/A</v>
      </c>
      <c r="K115" s="29" t="e">
        <f t="shared" si="29"/>
        <v>#N/A</v>
      </c>
      <c r="M115" s="29">
        <v>42</v>
      </c>
      <c r="N115" s="29" t="e">
        <f t="shared" si="30"/>
        <v>#N/A</v>
      </c>
      <c r="O115" s="29" t="e">
        <f t="shared" si="31"/>
        <v>#N/A</v>
      </c>
      <c r="P115" s="29" t="e">
        <f t="shared" si="32"/>
        <v>#N/A</v>
      </c>
      <c r="S115" s="30" t="e">
        <f t="shared" si="33"/>
        <v>#N/A</v>
      </c>
      <c r="T115" s="43" t="e">
        <f t="shared" si="34"/>
        <v>#N/A</v>
      </c>
      <c r="AD115" s="28">
        <v>22</v>
      </c>
      <c r="AE115" s="28">
        <v>2.35</v>
      </c>
    </row>
    <row r="116" spans="1:32">
      <c r="A116" s="28">
        <f t="shared" si="26"/>
        <v>0</v>
      </c>
      <c r="I116" s="29" t="b">
        <f t="shared" si="27"/>
        <v>0</v>
      </c>
      <c r="J116" s="29" t="e">
        <f t="shared" si="28"/>
        <v>#N/A</v>
      </c>
      <c r="K116" s="29" t="e">
        <f t="shared" si="29"/>
        <v>#N/A</v>
      </c>
      <c r="M116" s="29">
        <v>43</v>
      </c>
      <c r="N116" s="29" t="e">
        <f t="shared" si="30"/>
        <v>#N/A</v>
      </c>
      <c r="O116" s="29" t="e">
        <f t="shared" si="31"/>
        <v>#N/A</v>
      </c>
      <c r="P116" s="29" t="e">
        <f t="shared" si="32"/>
        <v>#N/A</v>
      </c>
      <c r="S116" s="30" t="e">
        <f t="shared" si="33"/>
        <v>#N/A</v>
      </c>
      <c r="T116" s="43" t="e">
        <f t="shared" si="34"/>
        <v>#N/A</v>
      </c>
      <c r="AD116" s="28">
        <v>23</v>
      </c>
      <c r="AE116" s="28">
        <v>2.3290000000000002</v>
      </c>
    </row>
    <row r="117" spans="1:32">
      <c r="A117" s="28">
        <f t="shared" si="26"/>
        <v>0</v>
      </c>
      <c r="I117" s="29" t="b">
        <f t="shared" si="27"/>
        <v>0</v>
      </c>
      <c r="J117" s="29" t="e">
        <f t="shared" si="28"/>
        <v>#N/A</v>
      </c>
      <c r="K117" s="29" t="e">
        <f t="shared" si="29"/>
        <v>#N/A</v>
      </c>
      <c r="M117" s="29">
        <v>44</v>
      </c>
      <c r="N117" s="29" t="e">
        <f t="shared" si="30"/>
        <v>#N/A</v>
      </c>
      <c r="O117" s="29" t="e">
        <f t="shared" si="31"/>
        <v>#N/A</v>
      </c>
      <c r="P117" s="29" t="e">
        <f t="shared" si="32"/>
        <v>#N/A</v>
      </c>
      <c r="S117" s="30" t="e">
        <f t="shared" si="33"/>
        <v>#N/A</v>
      </c>
      <c r="T117" s="43" t="e">
        <f t="shared" si="34"/>
        <v>#N/A</v>
      </c>
      <c r="AD117" s="28">
        <v>24</v>
      </c>
      <c r="AE117" s="28">
        <v>2.3090000000000002</v>
      </c>
    </row>
    <row r="118" spans="1:32">
      <c r="A118" s="28">
        <f t="shared" si="26"/>
        <v>0</v>
      </c>
      <c r="I118" s="29" t="b">
        <f t="shared" si="27"/>
        <v>0</v>
      </c>
      <c r="J118" s="29" t="e">
        <f t="shared" si="28"/>
        <v>#N/A</v>
      </c>
      <c r="K118" s="29" t="e">
        <f t="shared" si="29"/>
        <v>#N/A</v>
      </c>
      <c r="M118" s="29">
        <v>45</v>
      </c>
      <c r="N118" s="29" t="e">
        <f t="shared" si="30"/>
        <v>#N/A</v>
      </c>
      <c r="O118" s="29" t="e">
        <f t="shared" si="31"/>
        <v>#N/A</v>
      </c>
      <c r="P118" s="29" t="e">
        <f t="shared" si="32"/>
        <v>#N/A</v>
      </c>
      <c r="S118" s="30" t="e">
        <f t="shared" si="33"/>
        <v>#N/A</v>
      </c>
      <c r="T118" s="43" t="e">
        <f t="shared" si="34"/>
        <v>#N/A</v>
      </c>
      <c r="AD118" s="28">
        <v>25</v>
      </c>
      <c r="AE118" s="28">
        <v>2.2919999999999998</v>
      </c>
    </row>
    <row r="119" spans="1:32">
      <c r="A119" s="28">
        <f t="shared" si="26"/>
        <v>0</v>
      </c>
      <c r="I119" s="29" t="b">
        <f t="shared" si="27"/>
        <v>0</v>
      </c>
      <c r="J119" s="29" t="e">
        <f t="shared" si="28"/>
        <v>#N/A</v>
      </c>
      <c r="K119" s="29" t="e">
        <f t="shared" si="29"/>
        <v>#N/A</v>
      </c>
      <c r="M119" s="29">
        <v>46</v>
      </c>
      <c r="N119" s="29" t="e">
        <f t="shared" si="30"/>
        <v>#N/A</v>
      </c>
      <c r="O119" s="29" t="e">
        <f t="shared" si="31"/>
        <v>#N/A</v>
      </c>
      <c r="P119" s="29" t="e">
        <f t="shared" si="32"/>
        <v>#N/A</v>
      </c>
      <c r="S119" s="30" t="e">
        <f t="shared" si="33"/>
        <v>#N/A</v>
      </c>
      <c r="T119" s="43" t="e">
        <f t="shared" si="34"/>
        <v>#N/A</v>
      </c>
      <c r="AD119" s="28">
        <v>26</v>
      </c>
      <c r="AE119" s="28">
        <v>2.2776000000000001</v>
      </c>
    </row>
    <row r="120" spans="1:32">
      <c r="A120" s="28">
        <f t="shared" si="26"/>
        <v>0</v>
      </c>
      <c r="I120" s="29" t="b">
        <f t="shared" si="27"/>
        <v>0</v>
      </c>
      <c r="J120" s="29" t="e">
        <f t="shared" si="28"/>
        <v>#N/A</v>
      </c>
      <c r="K120" s="29" t="e">
        <f t="shared" si="29"/>
        <v>#N/A</v>
      </c>
      <c r="M120" s="29">
        <v>47</v>
      </c>
      <c r="N120" s="29" t="e">
        <f t="shared" si="30"/>
        <v>#N/A</v>
      </c>
      <c r="O120" s="29" t="e">
        <f t="shared" si="31"/>
        <v>#N/A</v>
      </c>
      <c r="P120" s="29" t="e">
        <f t="shared" si="32"/>
        <v>#N/A</v>
      </c>
      <c r="S120" s="30" t="e">
        <f t="shared" si="33"/>
        <v>#N/A</v>
      </c>
      <c r="T120" s="43" t="e">
        <f t="shared" si="34"/>
        <v>#N/A</v>
      </c>
      <c r="AD120" s="28">
        <v>27</v>
      </c>
      <c r="AE120" s="28">
        <v>2.2631999999999999</v>
      </c>
    </row>
    <row r="121" spans="1:32">
      <c r="A121" s="28">
        <f t="shared" si="26"/>
        <v>0</v>
      </c>
      <c r="I121" s="29" t="b">
        <f t="shared" si="27"/>
        <v>0</v>
      </c>
      <c r="J121" s="29" t="e">
        <f t="shared" si="28"/>
        <v>#N/A</v>
      </c>
      <c r="K121" s="29" t="e">
        <f t="shared" si="29"/>
        <v>#N/A</v>
      </c>
      <c r="M121" s="29">
        <v>48</v>
      </c>
      <c r="N121" s="29" t="e">
        <f t="shared" si="30"/>
        <v>#N/A</v>
      </c>
      <c r="O121" s="29" t="e">
        <f t="shared" si="31"/>
        <v>#N/A</v>
      </c>
      <c r="P121" s="29" t="e">
        <f t="shared" si="32"/>
        <v>#N/A</v>
      </c>
      <c r="S121" s="30" t="e">
        <f t="shared" si="33"/>
        <v>#N/A</v>
      </c>
      <c r="T121" s="43" t="e">
        <f t="shared" si="34"/>
        <v>#N/A</v>
      </c>
      <c r="AD121" s="28">
        <v>28</v>
      </c>
      <c r="AE121" s="28">
        <v>2.2488000000000001</v>
      </c>
    </row>
    <row r="122" spans="1:32">
      <c r="A122" s="28">
        <f t="shared" si="26"/>
        <v>0</v>
      </c>
      <c r="I122" s="29" t="b">
        <f t="shared" si="27"/>
        <v>0</v>
      </c>
      <c r="J122" s="29" t="e">
        <f t="shared" si="28"/>
        <v>#N/A</v>
      </c>
      <c r="K122" s="29" t="e">
        <f t="shared" si="29"/>
        <v>#N/A</v>
      </c>
      <c r="M122" s="29">
        <v>49</v>
      </c>
      <c r="N122" s="29" t="e">
        <f t="shared" si="30"/>
        <v>#N/A</v>
      </c>
      <c r="O122" s="29" t="e">
        <f t="shared" si="31"/>
        <v>#N/A</v>
      </c>
      <c r="P122" s="29" t="e">
        <f t="shared" si="32"/>
        <v>#N/A</v>
      </c>
      <c r="S122" s="30" t="e">
        <f t="shared" si="33"/>
        <v>#N/A</v>
      </c>
      <c r="T122" s="43" t="e">
        <f t="shared" si="34"/>
        <v>#N/A</v>
      </c>
      <c r="AD122" s="28">
        <v>29</v>
      </c>
      <c r="AE122" s="28">
        <v>2.2343999999999999</v>
      </c>
    </row>
    <row r="123" spans="1:32">
      <c r="A123" s="28">
        <f t="shared" si="26"/>
        <v>0</v>
      </c>
      <c r="I123" s="29" t="b">
        <f t="shared" si="27"/>
        <v>0</v>
      </c>
      <c r="J123" s="29" t="e">
        <f t="shared" si="28"/>
        <v>#N/A</v>
      </c>
      <c r="K123" s="29" t="e">
        <f t="shared" si="29"/>
        <v>#N/A</v>
      </c>
      <c r="M123" s="29">
        <v>50</v>
      </c>
      <c r="N123" s="29" t="e">
        <f t="shared" si="30"/>
        <v>#N/A</v>
      </c>
      <c r="O123" s="29" t="e">
        <f t="shared" si="31"/>
        <v>#N/A</v>
      </c>
      <c r="P123" s="29" t="e">
        <f t="shared" si="32"/>
        <v>#N/A</v>
      </c>
      <c r="S123" s="30" t="e">
        <f t="shared" si="33"/>
        <v>#N/A</v>
      </c>
      <c r="T123" s="43" t="e">
        <f t="shared" si="34"/>
        <v>#N/A</v>
      </c>
      <c r="AD123" s="28">
        <v>30</v>
      </c>
      <c r="AE123" s="28">
        <v>2.2200000000000002</v>
      </c>
    </row>
    <row r="124" spans="1:32">
      <c r="A124" s="28">
        <f t="shared" si="26"/>
        <v>0</v>
      </c>
      <c r="K124" s="29" t="e">
        <f t="shared" si="29"/>
        <v>#N/A</v>
      </c>
      <c r="S124" s="30" t="e">
        <f t="shared" si="33"/>
        <v>#N/A</v>
      </c>
      <c r="T124" s="43" t="e">
        <f t="shared" si="34"/>
        <v>#N/A</v>
      </c>
      <c r="AD124" s="28">
        <v>31</v>
      </c>
      <c r="AE124" s="28">
        <v>2.2092000000000001</v>
      </c>
    </row>
    <row r="125" spans="1:32">
      <c r="AD125" s="28">
        <v>32</v>
      </c>
      <c r="AE125" s="28">
        <v>2.1983999999999999</v>
      </c>
      <c r="AF125" s="28" t="s">
        <v>156</v>
      </c>
    </row>
    <row r="126" spans="1:32">
      <c r="AD126" s="28">
        <v>33</v>
      </c>
      <c r="AE126" s="28">
        <v>2.1876000000000002</v>
      </c>
      <c r="AF126" s="28" t="s">
        <v>156</v>
      </c>
    </row>
    <row r="127" spans="1:32">
      <c r="AD127" s="28">
        <v>34</v>
      </c>
      <c r="AE127" s="28">
        <v>2.1768000000000001</v>
      </c>
      <c r="AF127" s="28" t="s">
        <v>156</v>
      </c>
    </row>
    <row r="128" spans="1:32">
      <c r="AD128" s="28">
        <v>35</v>
      </c>
      <c r="AE128" s="28">
        <v>2.1659999999999999</v>
      </c>
      <c r="AF128" s="28" t="s">
        <v>156</v>
      </c>
    </row>
    <row r="129" spans="30:32">
      <c r="AD129" s="28">
        <v>36</v>
      </c>
      <c r="AE129" s="28">
        <f>(($AE$128-$AE$133)/5)+AE130</f>
        <v>2.1577999999999999</v>
      </c>
    </row>
    <row r="130" spans="30:32">
      <c r="AD130" s="28">
        <v>37</v>
      </c>
      <c r="AE130" s="28">
        <f>(($AE$128-$AE$133)/5)+AE131</f>
        <v>2.1496</v>
      </c>
    </row>
    <row r="131" spans="30:32">
      <c r="AD131" s="28">
        <v>38</v>
      </c>
      <c r="AE131" s="28">
        <f>(($AE$128-$AE$133)/5)+AE132</f>
        <v>2.1414</v>
      </c>
    </row>
    <row r="132" spans="30:32">
      <c r="AD132" s="28">
        <v>39</v>
      </c>
      <c r="AE132" s="28">
        <f>(($AE$128-$AE$133)/5)+AE133</f>
        <v>2.1332</v>
      </c>
    </row>
    <row r="133" spans="30:32">
      <c r="AD133" s="28">
        <v>40</v>
      </c>
      <c r="AE133" s="28">
        <v>2.125</v>
      </c>
      <c r="AF133" s="28" t="s">
        <v>156</v>
      </c>
    </row>
    <row r="134" spans="30:32">
      <c r="AD134" s="28">
        <v>41</v>
      </c>
      <c r="AE134" s="28">
        <f>(($AE$133-$AE$138)/5)+AE135</f>
        <v>2.1184000000000007</v>
      </c>
    </row>
    <row r="135" spans="30:32">
      <c r="AD135" s="28">
        <v>42</v>
      </c>
      <c r="AE135" s="28">
        <f>(($AE$133-$AE$138)/5)+AE136</f>
        <v>2.1118000000000006</v>
      </c>
    </row>
    <row r="136" spans="30:32">
      <c r="AD136" s="28">
        <v>43</v>
      </c>
      <c r="AE136" s="28">
        <f>(($AE$133-$AE$138)/5)+AE137</f>
        <v>2.1052000000000004</v>
      </c>
    </row>
    <row r="137" spans="30:32">
      <c r="AD137" s="28">
        <v>44</v>
      </c>
      <c r="AE137" s="28">
        <f>(($AE$133-$AE$138)/5)+AE138</f>
        <v>2.0986000000000002</v>
      </c>
    </row>
    <row r="138" spans="30:32">
      <c r="AD138" s="28">
        <v>45</v>
      </c>
      <c r="AE138" s="28">
        <v>2.0920000000000001</v>
      </c>
      <c r="AF138" s="28" t="s">
        <v>156</v>
      </c>
    </row>
    <row r="139" spans="30:32">
      <c r="AD139" s="28">
        <v>46</v>
      </c>
      <c r="AE139" s="28">
        <f>(($AE$138-$AE$143)/5)+AE140</f>
        <v>2.0865999999999993</v>
      </c>
    </row>
    <row r="140" spans="30:32">
      <c r="AD140" s="28">
        <v>47</v>
      </c>
      <c r="AE140" s="28">
        <f>(($AE$138-$AE$143)/5)+AE141</f>
        <v>2.0811999999999995</v>
      </c>
    </row>
    <row r="141" spans="30:32">
      <c r="AD141" s="28">
        <v>48</v>
      </c>
      <c r="AE141" s="28">
        <f>(($AE$138-$AE$143)/5)+AE142</f>
        <v>2.0757999999999996</v>
      </c>
    </row>
    <row r="142" spans="30:32">
      <c r="AD142" s="28">
        <v>49</v>
      </c>
      <c r="AE142" s="28">
        <f>(($AE$138-$AE$143)/5)+AE143</f>
        <v>2.0703999999999998</v>
      </c>
    </row>
    <row r="143" spans="30:32">
      <c r="AD143" s="28">
        <v>50</v>
      </c>
      <c r="AE143" s="28">
        <v>2.0649999999999999</v>
      </c>
      <c r="AF143" s="28" t="s">
        <v>156</v>
      </c>
    </row>
    <row r="144" spans="30:32">
      <c r="AD144" s="28">
        <v>51</v>
      </c>
    </row>
    <row r="145" spans="1:30">
      <c r="AD145" s="28">
        <v>52</v>
      </c>
    </row>
    <row r="146" spans="1:30">
      <c r="AD146" s="28">
        <v>53</v>
      </c>
    </row>
    <row r="147" spans="1:30">
      <c r="AD147" s="28">
        <v>54</v>
      </c>
    </row>
    <row r="148" spans="1:30">
      <c r="AD148" s="28">
        <v>55</v>
      </c>
    </row>
    <row r="149" spans="1:30">
      <c r="AD149" s="28">
        <v>56</v>
      </c>
    </row>
    <row r="150" spans="1:30">
      <c r="AD150" s="28">
        <v>57</v>
      </c>
    </row>
    <row r="151" spans="1:30">
      <c r="AD151" s="28">
        <v>58</v>
      </c>
    </row>
    <row r="152" spans="1:30">
      <c r="AD152" s="28">
        <v>59</v>
      </c>
    </row>
    <row r="153" spans="1:30">
      <c r="AD153" s="28">
        <v>60</v>
      </c>
    </row>
    <row r="154" spans="1:30">
      <c r="AD154" s="28">
        <v>61</v>
      </c>
    </row>
    <row r="155" spans="1:30">
      <c r="AD155" s="28">
        <v>62</v>
      </c>
    </row>
    <row r="156" spans="1:30">
      <c r="A156" s="28" t="s">
        <v>157</v>
      </c>
      <c r="AD156" s="28">
        <v>63</v>
      </c>
    </row>
    <row r="158" spans="1:30">
      <c r="A158" s="28" t="s">
        <v>158</v>
      </c>
      <c r="B158" s="28" t="e">
        <f>($T$35*($T$36^(2.33)))/100</f>
        <v>#DIV/0!</v>
      </c>
      <c r="S158" s="30" t="s">
        <v>159</v>
      </c>
      <c r="U158" s="28" t="s">
        <v>160</v>
      </c>
      <c r="W158" s="28" t="s">
        <v>161</v>
      </c>
      <c r="Y158" s="28" t="s">
        <v>162</v>
      </c>
      <c r="AA158" s="28" t="s">
        <v>163</v>
      </c>
    </row>
    <row r="160" spans="1:30">
      <c r="A160" s="28" t="s">
        <v>57</v>
      </c>
      <c r="B160" s="28" t="s">
        <v>164</v>
      </c>
      <c r="S160" s="30" t="s">
        <v>57</v>
      </c>
      <c r="T160" s="28" t="s">
        <v>108</v>
      </c>
      <c r="U160" s="28" t="s">
        <v>57</v>
      </c>
      <c r="V160" s="28" t="s">
        <v>108</v>
      </c>
      <c r="W160" s="28" t="s">
        <v>57</v>
      </c>
      <c r="X160" s="28" t="s">
        <v>108</v>
      </c>
      <c r="Y160" s="28" t="s">
        <v>57</v>
      </c>
      <c r="Z160" s="28" t="s">
        <v>108</v>
      </c>
      <c r="AA160" s="28" t="s">
        <v>57</v>
      </c>
      <c r="AB160" s="28" t="s">
        <v>108</v>
      </c>
    </row>
    <row r="161" spans="1:28">
      <c r="A161" s="28" t="e">
        <f>B158</f>
        <v>#DIV/0!</v>
      </c>
      <c r="B161" s="28" t="e">
        <f t="shared" ref="B161:B192" si="35">(EXP(((LN(A161)-$T$20)^2)/(-2*($T$21^2))))/(A161*$T$21*SQRT(2*PI()))</f>
        <v>#DIV/0!</v>
      </c>
      <c r="S161" s="44" t="e">
        <f>T35</f>
        <v>#DIV/0!</v>
      </c>
      <c r="T161" s="28">
        <v>0</v>
      </c>
      <c r="U161" s="38" t="e">
        <f>T39</f>
        <v>#DIV/0!</v>
      </c>
      <c r="V161" s="28">
        <v>0</v>
      </c>
      <c r="W161" s="38" t="e">
        <f>T48</f>
        <v>#DIV/0!</v>
      </c>
      <c r="X161" s="28">
        <v>0</v>
      </c>
      <c r="Y161" s="38" t="e">
        <f>$T$45</f>
        <v>#DIV/0!</v>
      </c>
      <c r="Z161" s="28">
        <v>0</v>
      </c>
      <c r="AA161" s="38" t="e">
        <f>$T$44</f>
        <v>#DIV/0!</v>
      </c>
      <c r="AB161" s="28" t="s">
        <v>165</v>
      </c>
    </row>
    <row r="162" spans="1:28">
      <c r="A162" s="28" t="e">
        <f t="shared" ref="A162:A193" si="36">A161+$B$158</f>
        <v>#DIV/0!</v>
      </c>
      <c r="B162" s="28" t="e">
        <f t="shared" si="35"/>
        <v>#DIV/0!</v>
      </c>
      <c r="S162" s="44" t="e">
        <f>S161</f>
        <v>#DIV/0!</v>
      </c>
      <c r="T162" s="28" t="e">
        <f>MAX($B$161:$B$260)</f>
        <v>#DIV/0!</v>
      </c>
      <c r="U162" s="38" t="e">
        <f>U161</f>
        <v>#DIV/0!</v>
      </c>
      <c r="V162" s="28" t="e">
        <f>MAX($B$161:$B$260)</f>
        <v>#DIV/0!</v>
      </c>
      <c r="W162" s="38" t="e">
        <f>W161</f>
        <v>#DIV/0!</v>
      </c>
      <c r="X162" s="28" t="e">
        <f>MAX($B$161:$B$260)</f>
        <v>#DIV/0!</v>
      </c>
      <c r="Y162" s="38" t="e">
        <f>$T$45</f>
        <v>#DIV/0!</v>
      </c>
      <c r="Z162" s="28" t="e">
        <f>X162</f>
        <v>#DIV/0!</v>
      </c>
      <c r="AA162" s="38" t="e">
        <f>$T$44</f>
        <v>#DIV/0!</v>
      </c>
      <c r="AB162" s="28" t="e">
        <f>Z162</f>
        <v>#DIV/0!</v>
      </c>
    </row>
    <row r="163" spans="1:28">
      <c r="A163" s="28" t="e">
        <f t="shared" si="36"/>
        <v>#DIV/0!</v>
      </c>
      <c r="B163" s="28" t="e">
        <f t="shared" si="35"/>
        <v>#DIV/0!</v>
      </c>
    </row>
    <row r="164" spans="1:28">
      <c r="A164" s="28" t="e">
        <f t="shared" si="36"/>
        <v>#DIV/0!</v>
      </c>
      <c r="B164" s="28" t="e">
        <f t="shared" si="35"/>
        <v>#DIV/0!</v>
      </c>
    </row>
    <row r="165" spans="1:28">
      <c r="A165" s="28" t="e">
        <f t="shared" si="36"/>
        <v>#DIV/0!</v>
      </c>
      <c r="B165" s="28" t="e">
        <f t="shared" si="35"/>
        <v>#DIV/0!</v>
      </c>
    </row>
    <row r="166" spans="1:28">
      <c r="A166" s="28" t="e">
        <f t="shared" si="36"/>
        <v>#DIV/0!</v>
      </c>
      <c r="B166" s="28" t="e">
        <f t="shared" si="35"/>
        <v>#DIV/0!</v>
      </c>
    </row>
    <row r="167" spans="1:28">
      <c r="A167" s="28" t="e">
        <f t="shared" si="36"/>
        <v>#DIV/0!</v>
      </c>
      <c r="B167" s="28" t="e">
        <f t="shared" si="35"/>
        <v>#DIV/0!</v>
      </c>
    </row>
    <row r="168" spans="1:28">
      <c r="A168" s="28" t="e">
        <f t="shared" si="36"/>
        <v>#DIV/0!</v>
      </c>
      <c r="B168" s="28" t="e">
        <f t="shared" si="35"/>
        <v>#DIV/0!</v>
      </c>
    </row>
    <row r="169" spans="1:28">
      <c r="A169" s="28" t="e">
        <f t="shared" si="36"/>
        <v>#DIV/0!</v>
      </c>
      <c r="B169" s="28" t="e">
        <f t="shared" si="35"/>
        <v>#DIV/0!</v>
      </c>
      <c r="H169" s="45" t="s">
        <v>166</v>
      </c>
      <c r="I169" s="45"/>
      <c r="J169" s="45"/>
      <c r="K169" s="28"/>
      <c r="L169" s="28"/>
      <c r="M169" s="28"/>
      <c r="N169" s="28"/>
      <c r="O169" s="28"/>
      <c r="P169" s="28"/>
      <c r="Q169" s="28"/>
      <c r="R169" s="28"/>
      <c r="S169" s="28"/>
    </row>
    <row r="170" spans="1:28">
      <c r="A170" s="28" t="e">
        <f t="shared" si="36"/>
        <v>#DIV/0!</v>
      </c>
      <c r="B170" s="28" t="e">
        <f t="shared" si="35"/>
        <v>#DIV/0!</v>
      </c>
      <c r="H170" s="28"/>
      <c r="I170" s="45" t="s">
        <v>167</v>
      </c>
      <c r="J170" s="46" t="e">
        <f>T21</f>
        <v>#DIV/0!</v>
      </c>
      <c r="K170" s="28"/>
      <c r="L170" s="28"/>
      <c r="M170" s="28" t="s">
        <v>168</v>
      </c>
      <c r="N170" s="28"/>
      <c r="O170" s="28"/>
      <c r="P170" s="28"/>
      <c r="Q170" s="28"/>
      <c r="R170" s="28"/>
      <c r="S170" s="28"/>
    </row>
    <row r="171" spans="1:28">
      <c r="A171" s="28" t="e">
        <f t="shared" si="36"/>
        <v>#DIV/0!</v>
      </c>
      <c r="B171" s="28" t="e">
        <f t="shared" si="35"/>
        <v>#DIV/0!</v>
      </c>
      <c r="H171" s="45"/>
      <c r="I171" s="45" t="s">
        <v>169</v>
      </c>
      <c r="J171" s="46">
        <f>T10</f>
        <v>0</v>
      </c>
      <c r="K171" s="28"/>
      <c r="L171" s="28"/>
      <c r="M171" s="28" t="s">
        <v>170</v>
      </c>
      <c r="N171" s="28" t="e">
        <f>HLOOKUP(J171,J189:N199,2)</f>
        <v>#N/A</v>
      </c>
      <c r="O171" s="28"/>
      <c r="P171" s="28"/>
      <c r="Q171" s="28"/>
      <c r="R171" s="28"/>
      <c r="S171" s="28"/>
    </row>
    <row r="172" spans="1:28">
      <c r="A172" s="28" t="e">
        <f t="shared" si="36"/>
        <v>#DIV/0!</v>
      </c>
      <c r="B172" s="28" t="e">
        <f t="shared" si="35"/>
        <v>#DIV/0!</v>
      </c>
      <c r="H172" s="45"/>
      <c r="I172" s="45" t="s">
        <v>171</v>
      </c>
      <c r="J172" s="45">
        <v>0.05</v>
      </c>
      <c r="K172" s="28"/>
      <c r="L172" s="28"/>
      <c r="M172" s="28" t="s">
        <v>172</v>
      </c>
      <c r="N172" s="28" t="e">
        <f>HLOOKUP(J171,J189:N199,3)</f>
        <v>#N/A</v>
      </c>
      <c r="O172" s="28"/>
      <c r="P172" s="28"/>
      <c r="Q172" s="28"/>
      <c r="R172" s="28"/>
      <c r="S172" s="28"/>
    </row>
    <row r="173" spans="1:28">
      <c r="A173" s="28" t="e">
        <f t="shared" si="36"/>
        <v>#DIV/0!</v>
      </c>
      <c r="B173" s="28" t="e">
        <f t="shared" si="35"/>
        <v>#DIV/0!</v>
      </c>
      <c r="H173" s="45"/>
      <c r="I173" s="45" t="s">
        <v>173</v>
      </c>
      <c r="J173" s="45">
        <v>0.95</v>
      </c>
      <c r="K173" s="28"/>
      <c r="L173" s="28"/>
      <c r="M173" s="28" t="s">
        <v>174</v>
      </c>
      <c r="N173" s="28" t="e">
        <f>HLOOKUP(J171,J189:N199,4)</f>
        <v>#N/A</v>
      </c>
      <c r="O173" s="28"/>
      <c r="P173" s="28"/>
      <c r="Q173" s="28"/>
      <c r="R173" s="28"/>
      <c r="S173" s="28"/>
    </row>
    <row r="174" spans="1:28">
      <c r="A174" s="28" t="e">
        <f t="shared" si="36"/>
        <v>#DIV/0!</v>
      </c>
      <c r="B174" s="28" t="e">
        <f t="shared" si="35"/>
        <v>#DIV/0!</v>
      </c>
      <c r="H174" s="45"/>
      <c r="I174" s="45" t="s">
        <v>175</v>
      </c>
      <c r="J174" s="46" t="e">
        <f>T38</f>
        <v>#DIV/0!</v>
      </c>
      <c r="K174" s="47" t="s">
        <v>176</v>
      </c>
      <c r="L174" s="28"/>
      <c r="M174" s="28" t="s">
        <v>177</v>
      </c>
      <c r="N174" s="28" t="e">
        <f>HLOOKUP(J171,J189:N199,5)</f>
        <v>#N/A</v>
      </c>
      <c r="O174" s="28"/>
      <c r="P174" s="28"/>
      <c r="Q174" s="28"/>
      <c r="R174" s="28"/>
      <c r="S174" s="28"/>
    </row>
    <row r="175" spans="1:28">
      <c r="A175" s="28" t="e">
        <f t="shared" si="36"/>
        <v>#DIV/0!</v>
      </c>
      <c r="B175" s="28" t="e">
        <f t="shared" si="35"/>
        <v>#DIV/0!</v>
      </c>
      <c r="H175" s="45"/>
      <c r="I175" s="45" t="s">
        <v>178</v>
      </c>
      <c r="J175" s="45" t="e">
        <f>J170*(SQRT((J171-1)/J171))</f>
        <v>#DIV/0!</v>
      </c>
      <c r="K175" s="28"/>
      <c r="L175" s="28"/>
      <c r="M175" s="28" t="s">
        <v>179</v>
      </c>
      <c r="N175" s="28" t="e">
        <f>HLOOKUP(J171,J189:N199,6)</f>
        <v>#N/A</v>
      </c>
      <c r="O175" s="28"/>
      <c r="P175" s="28"/>
      <c r="Q175" s="28"/>
      <c r="R175" s="28"/>
      <c r="S175" s="28"/>
    </row>
    <row r="176" spans="1:28">
      <c r="A176" s="28" t="e">
        <f t="shared" si="36"/>
        <v>#DIV/0!</v>
      </c>
      <c r="B176" s="28" t="e">
        <f t="shared" si="35"/>
        <v>#DIV/0!</v>
      </c>
      <c r="H176" s="45"/>
      <c r="I176" s="45" t="s">
        <v>180</v>
      </c>
      <c r="J176" s="45" t="e">
        <f>IF(J171&gt;5,L185,L184)</f>
        <v>#N/A</v>
      </c>
      <c r="K176" s="28"/>
      <c r="L176" s="28"/>
      <c r="M176" s="28" t="s">
        <v>181</v>
      </c>
      <c r="N176" s="28" t="e">
        <f>HLOOKUP(J171,J189:N199,7)</f>
        <v>#N/A</v>
      </c>
      <c r="O176" s="28"/>
      <c r="P176" s="28"/>
      <c r="Q176" s="28"/>
      <c r="R176" s="28"/>
      <c r="S176" s="28"/>
    </row>
    <row r="177" spans="1:20">
      <c r="A177" s="28" t="e">
        <f t="shared" si="36"/>
        <v>#DIV/0!</v>
      </c>
      <c r="B177" s="28" t="e">
        <f t="shared" si="35"/>
        <v>#DIV/0!</v>
      </c>
      <c r="H177" s="45"/>
      <c r="I177" s="45" t="s">
        <v>182</v>
      </c>
      <c r="J177" s="45" t="e">
        <f>IF(J171&gt;7,J185,J184)</f>
        <v>#N/A</v>
      </c>
      <c r="K177" s="28"/>
      <c r="L177" s="28"/>
      <c r="M177" s="28" t="s">
        <v>183</v>
      </c>
      <c r="N177" s="28" t="e">
        <f>HLOOKUP(J171,J189:N199,8)</f>
        <v>#N/A</v>
      </c>
      <c r="O177" s="28"/>
      <c r="P177" s="28"/>
      <c r="Q177" s="28"/>
      <c r="R177" s="28"/>
      <c r="S177" s="28"/>
    </row>
    <row r="178" spans="1:20">
      <c r="A178" s="28" t="e">
        <f t="shared" si="36"/>
        <v>#DIV/0!</v>
      </c>
      <c r="B178" s="28" t="e">
        <f t="shared" si="35"/>
        <v>#DIV/0!</v>
      </c>
      <c r="H178" s="45"/>
      <c r="I178" s="45" t="s">
        <v>184</v>
      </c>
      <c r="J178" s="45" t="e">
        <f>EXP((LN(J174))+(J176*(J175/(SQRT(J171-1)))))</f>
        <v>#DIV/0!</v>
      </c>
      <c r="K178" s="28"/>
      <c r="L178" s="28"/>
      <c r="M178" s="28" t="s">
        <v>185</v>
      </c>
      <c r="N178" s="28" t="e">
        <f>HLOOKUP(J171,J189:N199,9)</f>
        <v>#N/A</v>
      </c>
      <c r="O178" s="28"/>
      <c r="P178" s="28"/>
      <c r="Q178" s="28"/>
      <c r="R178" s="28"/>
      <c r="S178" s="28"/>
    </row>
    <row r="179" spans="1:20">
      <c r="A179" s="28" t="e">
        <f t="shared" si="36"/>
        <v>#DIV/0!</v>
      </c>
      <c r="B179" s="28" t="e">
        <f t="shared" si="35"/>
        <v>#DIV/0!</v>
      </c>
      <c r="H179" s="45"/>
      <c r="I179" s="45" t="s">
        <v>186</v>
      </c>
      <c r="J179" s="45" t="e">
        <f>EXP((LN(J174))+(J177*(J175/(SQRT(J171-1)))))</f>
        <v>#DIV/0!</v>
      </c>
      <c r="K179" s="28"/>
      <c r="L179" s="28"/>
      <c r="M179" s="28" t="s">
        <v>187</v>
      </c>
      <c r="N179" s="28" t="e">
        <f>HLOOKUP(J171,J189:N199,10)</f>
        <v>#N/A</v>
      </c>
      <c r="O179" s="28"/>
      <c r="P179" s="28"/>
      <c r="Q179" s="28"/>
      <c r="R179" s="28"/>
      <c r="S179" s="28"/>
    </row>
    <row r="180" spans="1:20">
      <c r="A180" s="28" t="e">
        <f t="shared" si="36"/>
        <v>#DIV/0!</v>
      </c>
      <c r="B180" s="28" t="e">
        <f t="shared" si="35"/>
        <v>#DIV/0!</v>
      </c>
      <c r="H180" s="28"/>
      <c r="I180" s="48" t="s">
        <v>188</v>
      </c>
      <c r="J180" s="28"/>
      <c r="K180" s="28"/>
      <c r="L180" s="28"/>
      <c r="M180" s="28" t="s">
        <v>189</v>
      </c>
      <c r="N180" s="28" t="e">
        <f>HLOOKUP(J171,J189:N199,11)</f>
        <v>#N/A</v>
      </c>
      <c r="O180" s="28"/>
      <c r="P180" s="28"/>
      <c r="Q180" s="28"/>
      <c r="R180" s="28"/>
      <c r="S180" s="28"/>
    </row>
    <row r="181" spans="1:20">
      <c r="A181" s="28" t="e">
        <f t="shared" si="36"/>
        <v>#DIV/0!</v>
      </c>
      <c r="B181" s="28" t="e">
        <f t="shared" si="35"/>
        <v>#DIV/0!</v>
      </c>
      <c r="H181" s="28"/>
      <c r="I181" s="28"/>
      <c r="J181" s="28"/>
      <c r="K181" s="28"/>
      <c r="L181" s="28"/>
      <c r="M181" s="28"/>
      <c r="N181" s="28"/>
      <c r="O181" s="28"/>
      <c r="P181" s="28"/>
      <c r="Q181" s="28"/>
      <c r="R181" s="28"/>
      <c r="S181" s="28"/>
    </row>
    <row r="182" spans="1:20">
      <c r="A182" s="28" t="e">
        <f t="shared" si="36"/>
        <v>#DIV/0!</v>
      </c>
      <c r="B182" s="28" t="e">
        <f t="shared" si="35"/>
        <v>#DIV/0!</v>
      </c>
      <c r="H182" s="28"/>
      <c r="I182" s="28"/>
      <c r="J182" s="28"/>
      <c r="K182" s="28"/>
      <c r="L182" s="28"/>
      <c r="M182" s="28" t="s">
        <v>190</v>
      </c>
      <c r="N182" s="28"/>
      <c r="O182" s="28"/>
      <c r="P182" s="28"/>
      <c r="Q182" s="28"/>
      <c r="R182" s="28"/>
      <c r="S182" s="28"/>
    </row>
    <row r="183" spans="1:20">
      <c r="A183" s="28" t="e">
        <f t="shared" si="36"/>
        <v>#DIV/0!</v>
      </c>
      <c r="B183" s="28" t="e">
        <f t="shared" si="35"/>
        <v>#DIV/0!</v>
      </c>
      <c r="H183" s="28"/>
      <c r="I183" s="28" t="s">
        <v>127</v>
      </c>
      <c r="J183" s="28" t="s">
        <v>191</v>
      </c>
      <c r="K183" s="28" t="s">
        <v>127</v>
      </c>
      <c r="L183" s="28" t="s">
        <v>192</v>
      </c>
      <c r="M183" s="28" t="s">
        <v>170</v>
      </c>
      <c r="N183" s="28" t="e">
        <f>HLOOKUP(J171,Q189:S199,2)</f>
        <v>#N/A</v>
      </c>
      <c r="O183" s="28"/>
      <c r="P183" s="28"/>
      <c r="Q183" s="28"/>
      <c r="R183" s="28"/>
      <c r="S183" s="28"/>
    </row>
    <row r="184" spans="1:20">
      <c r="A184" s="28" t="e">
        <f t="shared" si="36"/>
        <v>#DIV/0!</v>
      </c>
      <c r="B184" s="28" t="e">
        <f t="shared" si="35"/>
        <v>#DIV/0!</v>
      </c>
      <c r="H184" s="28"/>
      <c r="I184" s="28" t="s">
        <v>193</v>
      </c>
      <c r="J184" s="28" t="e">
        <f>(N171+(N173*J175)+(N175*(J175^2))+(N177*(J175^3))+(N179*(J175^4)))/(1+(N172*J175)+(N174*(J175^2))+(N176*(J175^3))+(N178*(J175^4))+(N180*(J175^5)))</f>
        <v>#N/A</v>
      </c>
      <c r="K184" s="28" t="s">
        <v>194</v>
      </c>
      <c r="L184" s="28" t="e">
        <f>(N183+(N185*J175)+(N187*(J175^2)))/(1+(N184*J175)+(N186*(J175^2)))</f>
        <v>#N/A</v>
      </c>
      <c r="M184" s="28" t="s">
        <v>172</v>
      </c>
      <c r="N184" s="28" t="e">
        <f>HLOOKUP(J171,Q189:S199,3)</f>
        <v>#N/A</v>
      </c>
      <c r="O184" s="28"/>
      <c r="P184" s="28"/>
      <c r="Q184" s="28"/>
      <c r="R184" s="28"/>
      <c r="S184" s="28"/>
    </row>
    <row r="185" spans="1:20">
      <c r="A185" s="28" t="e">
        <f t="shared" si="36"/>
        <v>#DIV/0!</v>
      </c>
      <c r="B185" s="28" t="e">
        <f t="shared" si="35"/>
        <v>#DIV/0!</v>
      </c>
      <c r="H185" s="28"/>
      <c r="I185" s="28" t="s">
        <v>195</v>
      </c>
      <c r="J185" s="28" t="e">
        <f>O190+(O191*J175)+(O192/J171)+(O193*(J175^2))+(O194/(J171^2))+(O195*J175/J171)+(O196*(J175^3))+(O197/(J171^3))+(O198*J175/(J171^2))+(O199*(J175^2)/J171)</f>
        <v>#DIV/0!</v>
      </c>
      <c r="K185" s="28" t="s">
        <v>196</v>
      </c>
      <c r="L185" s="28" t="e">
        <f>T190+(T191*J175)+(T192/J171)+(T193*(J175^2))+(T194/(J171^2))+(T195*J175/J171)+(T196*(J175^3))+(T197/(J171^3))+(T198*J175/(J171^2))+(T199*(J175^2)/J171)</f>
        <v>#DIV/0!</v>
      </c>
      <c r="M185" s="28" t="s">
        <v>174</v>
      </c>
      <c r="N185" s="28" t="e">
        <f>HLOOKUP(J171,Q189:S199,4)</f>
        <v>#N/A</v>
      </c>
      <c r="O185" s="28"/>
      <c r="P185" s="28"/>
      <c r="Q185" s="28"/>
      <c r="R185" s="28"/>
      <c r="S185" s="28"/>
    </row>
    <row r="186" spans="1:20">
      <c r="A186" s="28" t="e">
        <f t="shared" si="36"/>
        <v>#DIV/0!</v>
      </c>
      <c r="B186" s="28" t="e">
        <f t="shared" si="35"/>
        <v>#DIV/0!</v>
      </c>
      <c r="H186" s="28"/>
      <c r="I186" s="28"/>
      <c r="J186" s="28"/>
      <c r="K186" s="28"/>
      <c r="L186" s="28"/>
      <c r="M186" s="28" t="s">
        <v>177</v>
      </c>
      <c r="N186" s="28" t="e">
        <f>HLOOKUP(J171,Q189:S199,5)</f>
        <v>#N/A</v>
      </c>
      <c r="O186" s="28"/>
      <c r="P186" s="28"/>
      <c r="Q186" s="28"/>
      <c r="R186" s="28"/>
      <c r="S186" s="28"/>
    </row>
    <row r="187" spans="1:20">
      <c r="A187" s="28" t="e">
        <f t="shared" si="36"/>
        <v>#DIV/0!</v>
      </c>
      <c r="B187" s="28" t="e">
        <f t="shared" si="35"/>
        <v>#DIV/0!</v>
      </c>
      <c r="H187" s="28"/>
      <c r="I187" s="28"/>
      <c r="J187" s="28"/>
      <c r="K187" s="28"/>
      <c r="L187" s="28"/>
      <c r="M187" s="28" t="s">
        <v>179</v>
      </c>
      <c r="N187" s="28" t="e">
        <f>HLOOKUP(J171,Q189:S199,6)</f>
        <v>#N/A</v>
      </c>
      <c r="O187" s="28"/>
      <c r="P187" s="28"/>
      <c r="Q187" s="28"/>
      <c r="R187" s="28"/>
      <c r="S187" s="28"/>
    </row>
    <row r="188" spans="1:20">
      <c r="A188" s="28" t="e">
        <f t="shared" si="36"/>
        <v>#DIV/0!</v>
      </c>
      <c r="B188" s="28" t="e">
        <f t="shared" si="35"/>
        <v>#DIV/0!</v>
      </c>
      <c r="H188" s="28"/>
      <c r="I188" s="28" t="s">
        <v>197</v>
      </c>
      <c r="J188" s="28"/>
      <c r="K188" s="28"/>
      <c r="L188" s="28"/>
      <c r="M188" s="28"/>
      <c r="N188" s="28"/>
      <c r="O188" s="28"/>
      <c r="P188" s="28"/>
      <c r="Q188" s="28" t="s">
        <v>198</v>
      </c>
      <c r="R188" s="28"/>
      <c r="S188" s="28"/>
    </row>
    <row r="189" spans="1:20">
      <c r="A189" s="28" t="e">
        <f t="shared" si="36"/>
        <v>#DIV/0!</v>
      </c>
      <c r="B189" s="28" t="e">
        <f t="shared" si="35"/>
        <v>#DIV/0!</v>
      </c>
      <c r="H189" s="28"/>
      <c r="I189" s="28" t="s">
        <v>169</v>
      </c>
      <c r="J189" s="28">
        <v>3</v>
      </c>
      <c r="K189" s="28">
        <v>4</v>
      </c>
      <c r="L189" s="28">
        <v>5</v>
      </c>
      <c r="M189" s="28">
        <v>6</v>
      </c>
      <c r="N189" s="28">
        <v>7</v>
      </c>
      <c r="O189" s="28" t="s">
        <v>199</v>
      </c>
      <c r="P189" s="28"/>
      <c r="Q189" s="28">
        <v>3</v>
      </c>
      <c r="R189" s="28">
        <v>4</v>
      </c>
      <c r="S189" s="28">
        <v>5</v>
      </c>
      <c r="T189" s="28" t="s">
        <v>196</v>
      </c>
    </row>
    <row r="190" spans="1:20">
      <c r="A190" s="28" t="e">
        <f t="shared" si="36"/>
        <v>#DIV/0!</v>
      </c>
      <c r="B190" s="28" t="e">
        <f t="shared" si="35"/>
        <v>#DIV/0!</v>
      </c>
      <c r="H190" s="28"/>
      <c r="I190" s="28" t="s">
        <v>170</v>
      </c>
      <c r="J190" s="28">
        <v>2.3828098999999998</v>
      </c>
      <c r="K190" s="28">
        <v>2.0366181000000001</v>
      </c>
      <c r="L190" s="28">
        <v>1.9107517000000001</v>
      </c>
      <c r="M190" s="28">
        <v>1.8365940999999999</v>
      </c>
      <c r="N190" s="28">
        <v>1.7994842</v>
      </c>
      <c r="O190" s="28">
        <v>1.642361</v>
      </c>
      <c r="P190" s="28"/>
      <c r="Q190" s="28">
        <v>-2.3865192999999998</v>
      </c>
      <c r="R190" s="28">
        <v>-2.0397148999999999</v>
      </c>
      <c r="S190" s="28">
        <v>-1.9080983</v>
      </c>
      <c r="T190" s="28">
        <v>-1.6652842999999999</v>
      </c>
    </row>
    <row r="191" spans="1:20">
      <c r="A191" s="28" t="e">
        <f t="shared" si="36"/>
        <v>#DIV/0!</v>
      </c>
      <c r="B191" s="28" t="e">
        <f t="shared" si="35"/>
        <v>#DIV/0!</v>
      </c>
      <c r="H191" s="28"/>
      <c r="I191" s="28" t="s">
        <v>172</v>
      </c>
      <c r="J191" s="28">
        <v>-1.9078016</v>
      </c>
      <c r="K191" s="28">
        <v>-1.6251827999999999</v>
      </c>
      <c r="L191" s="28">
        <v>-0.75392424000000002</v>
      </c>
      <c r="M191" s="28">
        <v>0.12293613</v>
      </c>
      <c r="N191" s="28">
        <v>-0.66799472000000004</v>
      </c>
      <c r="O191" s="28">
        <v>-8.9895706000000006E-2</v>
      </c>
      <c r="P191" s="28"/>
      <c r="Q191" s="28">
        <v>1.7079129</v>
      </c>
      <c r="R191" s="28">
        <v>1.1478581000000001</v>
      </c>
      <c r="S191" s="28">
        <v>0.92104951999999995</v>
      </c>
      <c r="T191" s="28">
        <v>0.10902402</v>
      </c>
    </row>
    <row r="192" spans="1:20">
      <c r="A192" s="28" t="e">
        <f t="shared" si="36"/>
        <v>#DIV/0!</v>
      </c>
      <c r="B192" s="28" t="e">
        <f t="shared" si="35"/>
        <v>#DIV/0!</v>
      </c>
      <c r="H192" s="28"/>
      <c r="I192" s="28" t="s">
        <v>174</v>
      </c>
      <c r="J192" s="28">
        <v>-1.2992596999999999</v>
      </c>
      <c r="K192" s="28">
        <v>-1.6229194</v>
      </c>
      <c r="L192" s="28">
        <v>-0.42339524000000001</v>
      </c>
      <c r="M192" s="28">
        <v>1.3030195</v>
      </c>
      <c r="N192" s="28">
        <v>-0.44540781000000002</v>
      </c>
      <c r="O192" s="28">
        <v>2.8580990000000002</v>
      </c>
      <c r="P192" s="28"/>
      <c r="Q192" s="28">
        <v>-0.97733457999999995</v>
      </c>
      <c r="R192" s="28">
        <v>-0.69548849000000001</v>
      </c>
      <c r="S192" s="28">
        <v>-0.58741405000000002</v>
      </c>
      <c r="T192" s="28">
        <v>0.41441365000000002</v>
      </c>
    </row>
    <row r="193" spans="1:23">
      <c r="A193" s="28" t="e">
        <f t="shared" si="36"/>
        <v>#DIV/0!</v>
      </c>
      <c r="B193" s="28" t="e">
        <f t="shared" ref="B193:B224" si="37">(EXP(((LN(A193)-$T$20)^2)/(-2*($T$21^2))))/(A193*$T$21*SQRT(2*PI()))</f>
        <v>#DIV/0!</v>
      </c>
      <c r="H193" s="28"/>
      <c r="I193" s="28" t="s">
        <v>177</v>
      </c>
      <c r="J193" s="28">
        <v>5.2917836999999999</v>
      </c>
      <c r="K193" s="28">
        <v>2.6423741999999999</v>
      </c>
      <c r="L193" s="28">
        <v>0.89103098000000003</v>
      </c>
      <c r="M193" s="28">
        <v>1.5345557999999999</v>
      </c>
      <c r="N193" s="28">
        <v>0.85685750999999999</v>
      </c>
      <c r="O193" s="28">
        <v>0.69351183000000005</v>
      </c>
      <c r="P193" s="28"/>
      <c r="Q193" s="28">
        <v>-3.6191266E-2</v>
      </c>
      <c r="R193" s="28">
        <v>-1.8545415999999999E-2</v>
      </c>
      <c r="S193" s="28">
        <v>-9.7144959999999995E-3</v>
      </c>
      <c r="T193" s="28">
        <v>-0.41101237000000002</v>
      </c>
    </row>
    <row r="194" spans="1:23">
      <c r="A194" s="28" t="e">
        <f t="shared" ref="A194:A225" si="38">A193+$B$158</f>
        <v>#DIV/0!</v>
      </c>
      <c r="B194" s="28" t="e">
        <f t="shared" si="37"/>
        <v>#DIV/0!</v>
      </c>
      <c r="H194" s="28"/>
      <c r="I194" s="28" t="s">
        <v>179</v>
      </c>
      <c r="J194" s="28">
        <v>7.9866450000000002</v>
      </c>
      <c r="K194" s="28">
        <v>4.0754459000000001</v>
      </c>
      <c r="L194" s="28">
        <v>2.7606354</v>
      </c>
      <c r="M194" s="28">
        <v>2.6593491999999999</v>
      </c>
      <c r="N194" s="28">
        <v>2.0272399999999999</v>
      </c>
      <c r="O194" s="28">
        <v>-40.990924</v>
      </c>
      <c r="P194" s="28"/>
      <c r="Q194" s="28">
        <v>-0.62035479000000004</v>
      </c>
      <c r="R194" s="28">
        <v>-0.52301624000000002</v>
      </c>
      <c r="S194" s="28">
        <v>-0.49022279000000002</v>
      </c>
      <c r="T194" s="28">
        <v>-16.464545999999999</v>
      </c>
    </row>
    <row r="195" spans="1:23">
      <c r="A195" s="28" t="e">
        <f t="shared" si="38"/>
        <v>#DIV/0!</v>
      </c>
      <c r="B195" s="28" t="e">
        <f t="shared" si="37"/>
        <v>#DIV/0!</v>
      </c>
      <c r="H195" s="28"/>
      <c r="I195" s="28" t="s">
        <v>181</v>
      </c>
      <c r="J195" s="28">
        <v>-0.68237044999999996</v>
      </c>
      <c r="K195" s="28">
        <v>-1.0014932999999999</v>
      </c>
      <c r="L195" s="28">
        <v>-0.18397781999999999</v>
      </c>
      <c r="M195" s="28">
        <v>-0.48014163999999998</v>
      </c>
      <c r="N195" s="28">
        <v>0.11982843999999999</v>
      </c>
      <c r="O195" s="28">
        <v>5.2690665000000001</v>
      </c>
      <c r="P195" s="28"/>
      <c r="Q195" s="28"/>
      <c r="R195" s="28"/>
      <c r="S195" s="28"/>
      <c r="T195" s="28">
        <v>4.2113052</v>
      </c>
    </row>
    <row r="196" spans="1:23">
      <c r="A196" s="28" t="e">
        <f t="shared" si="38"/>
        <v>#DIV/0!</v>
      </c>
      <c r="B196" s="28" t="e">
        <f t="shared" si="37"/>
        <v>#DIV/0!</v>
      </c>
      <c r="H196" s="28"/>
      <c r="I196" s="28" t="s">
        <v>183</v>
      </c>
      <c r="J196" s="28">
        <v>31.329889999999999</v>
      </c>
      <c r="K196" s="28">
        <v>3.4090807000000001</v>
      </c>
      <c r="L196" s="28">
        <v>0.13008099000000001</v>
      </c>
      <c r="M196" s="28">
        <v>4.8166928999999996</v>
      </c>
      <c r="N196" s="28">
        <v>0.48077010999999997</v>
      </c>
      <c r="O196" s="28">
        <v>-0.13243948999999999</v>
      </c>
      <c r="P196" s="28"/>
      <c r="Q196" s="28"/>
      <c r="R196" s="28"/>
      <c r="S196" s="28"/>
      <c r="T196" s="28">
        <v>6.6100924000000005E-2</v>
      </c>
    </row>
    <row r="197" spans="1:23">
      <c r="A197" s="28" t="e">
        <f t="shared" si="38"/>
        <v>#DIV/0!</v>
      </c>
      <c r="B197" s="28" t="e">
        <f t="shared" si="37"/>
        <v>#DIV/0!</v>
      </c>
      <c r="H197" s="28"/>
      <c r="I197" s="28" t="s">
        <v>185</v>
      </c>
      <c r="J197" s="28">
        <v>0.54527619000000005</v>
      </c>
      <c r="K197" s="28">
        <v>0.29455520000000002</v>
      </c>
      <c r="L197" s="28">
        <v>5.3432080999999999E-2</v>
      </c>
      <c r="M197" s="28">
        <v>3.9733021999999998E-3</v>
      </c>
      <c r="N197" s="28">
        <v>2.3989184E-2</v>
      </c>
      <c r="O197" s="28">
        <v>182.18949000000001</v>
      </c>
      <c r="P197" s="28"/>
      <c r="Q197" s="28"/>
      <c r="R197" s="28"/>
      <c r="S197" s="28"/>
      <c r="T197" s="28">
        <v>55.619447000000001</v>
      </c>
    </row>
    <row r="198" spans="1:23">
      <c r="A198" s="28" t="e">
        <f t="shared" si="38"/>
        <v>#DIV/0!</v>
      </c>
      <c r="B198" s="28" t="e">
        <f t="shared" si="37"/>
        <v>#DIV/0!</v>
      </c>
      <c r="H198" s="28"/>
      <c r="I198" s="28" t="s">
        <v>187</v>
      </c>
      <c r="J198" s="28">
        <v>14.169840000000001</v>
      </c>
      <c r="K198" s="28">
        <v>0.62956062999999995</v>
      </c>
      <c r="L198" s="28">
        <v>0.53746225999999997</v>
      </c>
      <c r="M198" s="28">
        <v>-1.6148013000000001</v>
      </c>
      <c r="N198" s="28">
        <v>1.065744</v>
      </c>
      <c r="O198" s="28">
        <v>24.118100999999999</v>
      </c>
      <c r="P198" s="28"/>
      <c r="Q198" s="28"/>
      <c r="R198" s="28"/>
      <c r="S198" s="28"/>
      <c r="T198" s="28">
        <v>-7.8131037000000001</v>
      </c>
    </row>
    <row r="199" spans="1:23">
      <c r="A199" s="28" t="e">
        <f t="shared" si="38"/>
        <v>#DIV/0!</v>
      </c>
      <c r="B199" s="28" t="e">
        <f t="shared" si="37"/>
        <v>#DIV/0!</v>
      </c>
      <c r="H199" s="28"/>
      <c r="I199" s="28" t="s">
        <v>189</v>
      </c>
      <c r="J199" s="28">
        <v>-6.6913335000000004E-2</v>
      </c>
      <c r="K199" s="28">
        <v>-3.1880045000000003E-2</v>
      </c>
      <c r="L199" s="28">
        <v>-3.8110231999999998E-3</v>
      </c>
      <c r="M199" s="28">
        <v>0</v>
      </c>
      <c r="N199" s="28">
        <v>0</v>
      </c>
      <c r="O199" s="28">
        <v>1.588055</v>
      </c>
      <c r="P199" s="28"/>
      <c r="Q199" s="28"/>
      <c r="R199" s="28"/>
      <c r="S199" s="28"/>
      <c r="T199" s="28">
        <v>-0.22232526999999999</v>
      </c>
    </row>
    <row r="200" spans="1:23">
      <c r="A200" s="28" t="e">
        <f t="shared" si="38"/>
        <v>#DIV/0!</v>
      </c>
      <c r="B200" s="28" t="e">
        <f t="shared" si="37"/>
        <v>#DIV/0!</v>
      </c>
      <c r="H200" s="28"/>
      <c r="I200" s="28"/>
      <c r="J200" s="28"/>
      <c r="K200" s="28"/>
      <c r="L200" s="28"/>
      <c r="M200" s="28"/>
      <c r="N200" s="28"/>
      <c r="O200" s="28"/>
      <c r="P200" s="28"/>
      <c r="Q200" s="28"/>
      <c r="R200" s="28" t="s">
        <v>200</v>
      </c>
      <c r="S200" s="28" t="s">
        <v>201</v>
      </c>
      <c r="V200" s="28" t="s">
        <v>200</v>
      </c>
      <c r="W200" s="28" t="s">
        <v>201</v>
      </c>
    </row>
    <row r="201" spans="1:23">
      <c r="A201" s="28" t="e">
        <f t="shared" si="38"/>
        <v>#DIV/0!</v>
      </c>
      <c r="B201" s="28" t="e">
        <f t="shared" si="37"/>
        <v>#DIV/0!</v>
      </c>
      <c r="H201" s="28"/>
      <c r="I201" s="28"/>
      <c r="J201" s="28"/>
      <c r="K201" s="28"/>
      <c r="L201" s="28"/>
      <c r="M201" s="28"/>
      <c r="N201" s="28"/>
      <c r="O201" s="28"/>
      <c r="P201" s="28"/>
      <c r="Q201" s="28"/>
      <c r="R201" s="28" t="e">
        <f>J209</f>
        <v>#DIV/0!</v>
      </c>
      <c r="S201" s="28" t="e">
        <f>K209</f>
        <v>#DIV/0!</v>
      </c>
      <c r="V201" s="28" t="e">
        <f>R201</f>
        <v>#DIV/0!</v>
      </c>
      <c r="W201" s="28" t="e">
        <f>S201</f>
        <v>#DIV/0!</v>
      </c>
    </row>
    <row r="202" spans="1:23">
      <c r="A202" s="28" t="e">
        <f t="shared" si="38"/>
        <v>#DIV/0!</v>
      </c>
      <c r="B202" s="28" t="e">
        <f t="shared" si="37"/>
        <v>#DIV/0!</v>
      </c>
      <c r="H202" s="28"/>
      <c r="I202" s="28"/>
      <c r="J202" s="28"/>
      <c r="K202" s="28"/>
      <c r="L202" s="28"/>
      <c r="M202" s="28"/>
      <c r="N202" s="28" t="s">
        <v>202</v>
      </c>
      <c r="O202" s="28"/>
      <c r="P202" s="28"/>
      <c r="Q202" s="28" t="s">
        <v>203</v>
      </c>
      <c r="R202" s="28" t="e">
        <f>V206</f>
        <v>#DIV/0!</v>
      </c>
      <c r="S202" s="28" t="e">
        <f>W206</f>
        <v>#DIV/0!</v>
      </c>
      <c r="U202" s="49" t="s">
        <v>204</v>
      </c>
      <c r="V202" s="28" t="e">
        <f>IF(V201&lt;=-3,1,0)</f>
        <v>#DIV/0!</v>
      </c>
      <c r="W202" s="28" t="e">
        <f>IF(W201&lt;=-3,1,0)</f>
        <v>#DIV/0!</v>
      </c>
    </row>
    <row r="203" spans="1:23">
      <c r="A203" s="28" t="e">
        <f t="shared" si="38"/>
        <v>#DIV/0!</v>
      </c>
      <c r="B203" s="28" t="e">
        <f t="shared" si="37"/>
        <v>#DIV/0!</v>
      </c>
      <c r="H203" s="28"/>
      <c r="I203" s="45" t="s">
        <v>205</v>
      </c>
      <c r="J203" s="45"/>
      <c r="K203" s="28"/>
      <c r="L203" s="28"/>
      <c r="M203" s="28"/>
      <c r="N203" s="28" t="s">
        <v>170</v>
      </c>
      <c r="O203" s="28" t="e">
        <f>HLOOKUP(J204,J214:Q224,2)</f>
        <v>#N/A</v>
      </c>
      <c r="P203" s="28"/>
      <c r="Q203" s="28" t="s">
        <v>170</v>
      </c>
      <c r="R203" s="28" t="e">
        <f>HLOOKUP(R202,T214:W224,2)</f>
        <v>#DIV/0!</v>
      </c>
      <c r="S203" s="28" t="e">
        <f>HLOOKUP(S202,T214:W224,2)</f>
        <v>#DIV/0!</v>
      </c>
      <c r="U203" s="49" t="s">
        <v>206</v>
      </c>
      <c r="V203" s="28" t="e">
        <f>IF(V201&lt;=-1,1,0)</f>
        <v>#DIV/0!</v>
      </c>
      <c r="W203" s="28" t="e">
        <f>IF(W201&lt;=-1,1,0)</f>
        <v>#DIV/0!</v>
      </c>
    </row>
    <row r="204" spans="1:23">
      <c r="A204" s="28" t="e">
        <f t="shared" si="38"/>
        <v>#DIV/0!</v>
      </c>
      <c r="B204" s="28" t="e">
        <f t="shared" si="37"/>
        <v>#DIV/0!</v>
      </c>
      <c r="H204" s="28"/>
      <c r="I204" s="45" t="s">
        <v>169</v>
      </c>
      <c r="J204" s="46">
        <f>T10</f>
        <v>0</v>
      </c>
      <c r="K204" s="28"/>
      <c r="L204" s="28"/>
      <c r="M204" s="28"/>
      <c r="N204" s="28" t="s">
        <v>172</v>
      </c>
      <c r="O204" s="28" t="e">
        <f>HLOOKUP(J204,J214:Q224,3)</f>
        <v>#N/A</v>
      </c>
      <c r="P204" s="28"/>
      <c r="Q204" s="28" t="s">
        <v>172</v>
      </c>
      <c r="R204" s="28" t="e">
        <f>HLOOKUP(R202,T214:W224,3)</f>
        <v>#DIV/0!</v>
      </c>
      <c r="S204" s="28" t="e">
        <f>HLOOKUP(S202,T214:W224,3)</f>
        <v>#DIV/0!</v>
      </c>
      <c r="U204" s="49" t="s">
        <v>207</v>
      </c>
      <c r="V204" s="28" t="e">
        <f>IF(V201&lt;=1,1,0)</f>
        <v>#DIV/0!</v>
      </c>
      <c r="W204" s="28" t="e">
        <f>IF(W201&lt;=1,1,0)</f>
        <v>#DIV/0!</v>
      </c>
    </row>
    <row r="205" spans="1:23">
      <c r="A205" s="28" t="e">
        <f t="shared" si="38"/>
        <v>#DIV/0!</v>
      </c>
      <c r="B205" s="28" t="e">
        <f t="shared" si="37"/>
        <v>#DIV/0!</v>
      </c>
      <c r="H205" s="28"/>
      <c r="I205" s="45" t="s">
        <v>208</v>
      </c>
      <c r="J205" s="45">
        <f>B6</f>
        <v>100</v>
      </c>
      <c r="K205" s="28"/>
      <c r="L205" s="28"/>
      <c r="M205" s="28"/>
      <c r="N205" s="28" t="s">
        <v>174</v>
      </c>
      <c r="O205" s="28" t="e">
        <f>HLOOKUP(J204,J214:Q224,4)</f>
        <v>#N/A</v>
      </c>
      <c r="P205" s="28"/>
      <c r="Q205" s="28" t="s">
        <v>174</v>
      </c>
      <c r="R205" s="28" t="e">
        <f>HLOOKUP(R202,T214:W224,4)</f>
        <v>#DIV/0!</v>
      </c>
      <c r="S205" s="28" t="e">
        <f>HLOOKUP(S202,T214:W224,4)</f>
        <v>#DIV/0!</v>
      </c>
      <c r="U205" s="49" t="s">
        <v>209</v>
      </c>
      <c r="V205" s="28" t="e">
        <f>IF(V201&lt;=2.5,1,0)</f>
        <v>#DIV/0!</v>
      </c>
      <c r="W205" s="28" t="e">
        <f>IF(W201&lt;=2.5,1,0)</f>
        <v>#DIV/0!</v>
      </c>
    </row>
    <row r="206" spans="1:23">
      <c r="A206" s="28" t="e">
        <f t="shared" si="38"/>
        <v>#DIV/0!</v>
      </c>
      <c r="B206" s="28" t="e">
        <f t="shared" si="37"/>
        <v>#DIV/0!</v>
      </c>
      <c r="H206" s="28"/>
      <c r="I206" s="45" t="s">
        <v>210</v>
      </c>
      <c r="J206" s="46" t="e">
        <f>T20</f>
        <v>#DIV/0!</v>
      </c>
      <c r="K206" s="28" t="e">
        <f>EXP(J206)</f>
        <v>#DIV/0!</v>
      </c>
      <c r="L206" s="28" t="s">
        <v>211</v>
      </c>
      <c r="M206" s="28"/>
      <c r="N206" s="28" t="s">
        <v>177</v>
      </c>
      <c r="O206" s="28" t="e">
        <f>HLOOKUP(J204,J214:Q224,5)</f>
        <v>#N/A</v>
      </c>
      <c r="P206" s="28"/>
      <c r="Q206" s="28" t="s">
        <v>177</v>
      </c>
      <c r="R206" s="28" t="e">
        <f>HLOOKUP(R202,T214:W224,5)</f>
        <v>#DIV/0!</v>
      </c>
      <c r="S206" s="28" t="e">
        <f>HLOOKUP(S202,T214:W224,5)</f>
        <v>#DIV/0!</v>
      </c>
      <c r="U206" s="28" t="s">
        <v>203</v>
      </c>
      <c r="V206" s="28" t="e">
        <f>SUM(V202:V205)</f>
        <v>#DIV/0!</v>
      </c>
      <c r="W206" s="28" t="e">
        <f>SUM(W202:W205)</f>
        <v>#DIV/0!</v>
      </c>
    </row>
    <row r="207" spans="1:23">
      <c r="A207" s="28" t="e">
        <f t="shared" si="38"/>
        <v>#DIV/0!</v>
      </c>
      <c r="B207" s="28" t="e">
        <f t="shared" si="37"/>
        <v>#DIV/0!</v>
      </c>
      <c r="H207" s="28"/>
      <c r="I207" s="45" t="s">
        <v>212</v>
      </c>
      <c r="J207" s="46" t="e">
        <f>T21</f>
        <v>#DIV/0!</v>
      </c>
      <c r="K207" s="28" t="e">
        <f>EXP(J207)</f>
        <v>#DIV/0!</v>
      </c>
      <c r="L207" s="28" t="s">
        <v>213</v>
      </c>
      <c r="M207" s="28"/>
      <c r="N207" s="28" t="s">
        <v>179</v>
      </c>
      <c r="O207" s="28" t="e">
        <f>HLOOKUP(J204,J214:Q224,6)</f>
        <v>#N/A</v>
      </c>
      <c r="P207" s="28"/>
      <c r="Q207" s="28" t="s">
        <v>179</v>
      </c>
      <c r="R207" s="28" t="e">
        <f>HLOOKUP(R202,T214:W224,6)</f>
        <v>#DIV/0!</v>
      </c>
      <c r="S207" s="28" t="e">
        <f>HLOOKUP(S202,T214:W224,6)</f>
        <v>#DIV/0!</v>
      </c>
    </row>
    <row r="208" spans="1:23">
      <c r="A208" s="28" t="e">
        <f t="shared" si="38"/>
        <v>#DIV/0!</v>
      </c>
      <c r="B208" s="28" t="e">
        <f t="shared" si="37"/>
        <v>#DIV/0!</v>
      </c>
      <c r="H208" s="28"/>
      <c r="I208" s="45"/>
      <c r="J208" s="45"/>
      <c r="K208" s="28"/>
      <c r="L208" s="28"/>
      <c r="M208" s="28"/>
      <c r="N208" s="28" t="s">
        <v>181</v>
      </c>
      <c r="O208" s="28" t="e">
        <f>HLOOKUP(J204,J214:Q224,7)</f>
        <v>#N/A</v>
      </c>
      <c r="P208" s="28"/>
      <c r="Q208" s="28" t="s">
        <v>181</v>
      </c>
      <c r="R208" s="28" t="e">
        <f>HLOOKUP(R202,T214:W224,7)</f>
        <v>#DIV/0!</v>
      </c>
      <c r="S208" s="28" t="e">
        <f>HLOOKUP(S202,T214:W224,7)</f>
        <v>#DIV/0!</v>
      </c>
    </row>
    <row r="209" spans="1:23">
      <c r="A209" s="28" t="e">
        <f t="shared" si="38"/>
        <v>#DIV/0!</v>
      </c>
      <c r="B209" s="28" t="e">
        <f t="shared" si="37"/>
        <v>#DIV/0!</v>
      </c>
      <c r="H209" s="28"/>
      <c r="I209" s="45" t="s">
        <v>214</v>
      </c>
      <c r="J209" s="45" t="e">
        <f>(LN(J205)-J206)/J207</f>
        <v>#DIV/0!</v>
      </c>
      <c r="K209" s="28" t="e">
        <f>-J209</f>
        <v>#DIV/0!</v>
      </c>
      <c r="L209" s="28"/>
      <c r="M209" s="28"/>
      <c r="N209" s="28" t="s">
        <v>183</v>
      </c>
      <c r="O209" s="28" t="e">
        <f>HLOOKUP(J204,J214:Q224,8)</f>
        <v>#N/A</v>
      </c>
      <c r="P209" s="28"/>
      <c r="Q209" s="28" t="s">
        <v>183</v>
      </c>
      <c r="R209" s="28" t="e">
        <f>HLOOKUP(R202,T214:W224,8)</f>
        <v>#DIV/0!</v>
      </c>
      <c r="S209" s="28" t="e">
        <f>HLOOKUP(S202,T214:W224,8)</f>
        <v>#DIV/0!</v>
      </c>
    </row>
    <row r="210" spans="1:23">
      <c r="A210" s="28" t="e">
        <f t="shared" si="38"/>
        <v>#DIV/0!</v>
      </c>
      <c r="B210" s="28" t="e">
        <f t="shared" si="37"/>
        <v>#DIV/0!</v>
      </c>
      <c r="H210" s="28"/>
      <c r="I210" s="45" t="s">
        <v>215</v>
      </c>
      <c r="J210" s="45" t="e">
        <f>1-NORMSDIST(J209)</f>
        <v>#DIV/0!</v>
      </c>
      <c r="K210" s="28"/>
      <c r="L210" s="28" t="s">
        <v>216</v>
      </c>
      <c r="M210" s="28" t="s">
        <v>217</v>
      </c>
      <c r="N210" s="28" t="s">
        <v>185</v>
      </c>
      <c r="O210" s="28" t="e">
        <f>HLOOKUP(J204,J214:Q224,9)</f>
        <v>#N/A</v>
      </c>
      <c r="P210" s="28"/>
      <c r="Q210" s="28" t="s">
        <v>185</v>
      </c>
      <c r="R210" s="28" t="e">
        <f>HLOOKUP(R202,T214:W224,9)</f>
        <v>#DIV/0!</v>
      </c>
      <c r="S210" s="28" t="e">
        <f>HLOOKUP(S202,T214:W224,9)</f>
        <v>#DIV/0!</v>
      </c>
    </row>
    <row r="211" spans="1:23">
      <c r="A211" s="28" t="e">
        <f t="shared" si="38"/>
        <v>#DIV/0!</v>
      </c>
      <c r="B211" s="28" t="e">
        <f t="shared" si="37"/>
        <v>#DIV/0!</v>
      </c>
      <c r="H211" s="28"/>
      <c r="I211" s="45" t="s">
        <v>218</v>
      </c>
      <c r="J211" s="45" t="e">
        <f>IF(J204&lt;10,L211,M211)</f>
        <v>#N/A</v>
      </c>
      <c r="K211" s="28"/>
      <c r="L211" s="28" t="e">
        <f>(O203+(O205*J209)+(O207*(J209^2))+(O209*(J209^3))+(O211*(J209^4)))/(1+(O204*J209)+(O206*(J209^2))+(O208*(J209^3))+(O210*(J209^4))+(O212*(J209^5)))</f>
        <v>#N/A</v>
      </c>
      <c r="M211" s="28" t="e">
        <f>R203+(R204*J209)+(R205/J204)+(R206*(J209^2))+(R207/(J204^2))+(R208*J209/J204)+(R209*(J209^3))+(R210/(J204^3))+(R211*J209/(J204^2))+(R212*(J209^2)/J204)</f>
        <v>#DIV/0!</v>
      </c>
      <c r="N211" s="28" t="s">
        <v>187</v>
      </c>
      <c r="O211" s="28" t="e">
        <f>HLOOKUP(J204,J214:Q224,10)</f>
        <v>#N/A</v>
      </c>
      <c r="P211" s="28"/>
      <c r="Q211" s="28" t="s">
        <v>187</v>
      </c>
      <c r="R211" s="28" t="e">
        <f>HLOOKUP(R202,T214:W224,10)</f>
        <v>#DIV/0!</v>
      </c>
      <c r="S211" s="28" t="e">
        <f>HLOOKUP(S202,T214:W224,10)</f>
        <v>#DIV/0!</v>
      </c>
    </row>
    <row r="212" spans="1:23">
      <c r="A212" s="28" t="e">
        <f t="shared" si="38"/>
        <v>#DIV/0!</v>
      </c>
      <c r="B212" s="28" t="e">
        <f t="shared" si="37"/>
        <v>#DIV/0!</v>
      </c>
      <c r="H212" s="28"/>
      <c r="I212" s="45" t="s">
        <v>219</v>
      </c>
      <c r="J212" s="45" t="e">
        <f>IF(J204&lt;10,L212,M212)</f>
        <v>#N/A</v>
      </c>
      <c r="K212" s="28"/>
      <c r="L212" s="28" t="e">
        <f>1-(O203+(O205*K209)+(O207*(K209^2))+(O209*(K209^3))+(O211*(K209^4)))/(1+(O204*K209)+(O206*(K209^2))+(O208*(K209^3))+(O210*(K209^4))+(O212*(K209^5)))</f>
        <v>#N/A</v>
      </c>
      <c r="M212" s="28" t="e">
        <f>1-(S203+(S204*K209)+(S205/J204)+(S206*(K209^2))+(S207/(J204^2))+(S208*K209/J204)+(S209*(K209^3))+(S210/(J204^3))+(S211*K209/(J204^2))+(S212*(K209^2)/J204))</f>
        <v>#DIV/0!</v>
      </c>
      <c r="N212" s="28" t="s">
        <v>189</v>
      </c>
      <c r="O212" s="28" t="e">
        <f>HLOOKUP(J204,J214:Q224,11)</f>
        <v>#N/A</v>
      </c>
      <c r="P212" s="28"/>
      <c r="Q212" s="28" t="s">
        <v>189</v>
      </c>
      <c r="R212" s="28" t="e">
        <f>HLOOKUP(R202,T214:W224,11)</f>
        <v>#DIV/0!</v>
      </c>
      <c r="S212" s="28" t="e">
        <f>HLOOKUP(S202,T214:W224,11)</f>
        <v>#DIV/0!</v>
      </c>
    </row>
    <row r="213" spans="1:23">
      <c r="A213" s="28" t="e">
        <f t="shared" si="38"/>
        <v>#DIV/0!</v>
      </c>
      <c r="B213" s="28" t="e">
        <f t="shared" si="37"/>
        <v>#DIV/0!</v>
      </c>
      <c r="H213" s="28"/>
      <c r="I213" s="50" t="s">
        <v>220</v>
      </c>
      <c r="J213" s="28"/>
      <c r="K213" s="28"/>
      <c r="L213" s="28"/>
      <c r="M213" s="28"/>
      <c r="N213" s="28"/>
      <c r="O213" s="28"/>
      <c r="P213" s="28"/>
      <c r="Q213" s="28"/>
      <c r="R213" s="28"/>
      <c r="S213" s="28" t="s">
        <v>221</v>
      </c>
      <c r="T213" s="28" t="s">
        <v>209</v>
      </c>
      <c r="U213" s="28" t="s">
        <v>222</v>
      </c>
      <c r="V213" s="28" t="s">
        <v>223</v>
      </c>
      <c r="W213" s="28" t="s">
        <v>224</v>
      </c>
    </row>
    <row r="214" spans="1:23">
      <c r="A214" s="28" t="e">
        <f t="shared" si="38"/>
        <v>#DIV/0!</v>
      </c>
      <c r="B214" s="28" t="e">
        <f t="shared" si="37"/>
        <v>#DIV/0!</v>
      </c>
      <c r="H214" s="28"/>
      <c r="I214" s="28" t="s">
        <v>127</v>
      </c>
      <c r="J214" s="28">
        <v>2</v>
      </c>
      <c r="K214" s="28">
        <v>3</v>
      </c>
      <c r="L214" s="28">
        <v>4</v>
      </c>
      <c r="M214" s="28">
        <v>5</v>
      </c>
      <c r="N214" s="28">
        <v>6</v>
      </c>
      <c r="O214" s="28">
        <v>7</v>
      </c>
      <c r="P214" s="28">
        <v>8</v>
      </c>
      <c r="Q214" s="28">
        <v>9</v>
      </c>
      <c r="R214" s="28"/>
      <c r="S214" s="28" t="s">
        <v>225</v>
      </c>
      <c r="T214" s="28">
        <v>1</v>
      </c>
      <c r="U214" s="28">
        <v>2</v>
      </c>
      <c r="V214" s="28">
        <v>3</v>
      </c>
      <c r="W214" s="28">
        <v>4</v>
      </c>
    </row>
    <row r="215" spans="1:23">
      <c r="A215" s="28" t="e">
        <f t="shared" si="38"/>
        <v>#DIV/0!</v>
      </c>
      <c r="B215" s="28" t="e">
        <f t="shared" si="37"/>
        <v>#DIV/0!</v>
      </c>
      <c r="H215" s="28"/>
      <c r="I215" s="28" t="s">
        <v>170</v>
      </c>
      <c r="J215" s="28">
        <v>0.12238976</v>
      </c>
      <c r="K215" s="28">
        <v>0.17122854000000001</v>
      </c>
      <c r="L215" s="28">
        <v>0.20519873999999999</v>
      </c>
      <c r="M215" s="28">
        <v>0.23077928</v>
      </c>
      <c r="N215" s="28">
        <v>0.25103596</v>
      </c>
      <c r="O215" s="28">
        <v>0.26744948000000002</v>
      </c>
      <c r="P215" s="28">
        <v>0.28087030000000002</v>
      </c>
      <c r="Q215" s="28">
        <v>0.29176735999999998</v>
      </c>
      <c r="R215" s="28"/>
      <c r="S215" s="28" t="s">
        <v>170</v>
      </c>
      <c r="T215" s="28">
        <v>0.51277463999999995</v>
      </c>
      <c r="U215" s="28">
        <v>0.46043718</v>
      </c>
      <c r="V215" s="28">
        <v>0.43098160000000002</v>
      </c>
      <c r="W215" s="28">
        <v>0.84985991999999999</v>
      </c>
    </row>
    <row r="216" spans="1:23">
      <c r="A216" s="28" t="e">
        <f t="shared" si="38"/>
        <v>#DIV/0!</v>
      </c>
      <c r="B216" s="28" t="e">
        <f t="shared" si="37"/>
        <v>#DIV/0!</v>
      </c>
      <c r="H216" s="28"/>
      <c r="I216" s="28" t="s">
        <v>172</v>
      </c>
      <c r="J216" s="28">
        <v>-0.79631443000000002</v>
      </c>
      <c r="K216" s="28">
        <v>-0.62825761999999996</v>
      </c>
      <c r="L216" s="28">
        <v>-0.41686535000000002</v>
      </c>
      <c r="M216" s="28">
        <v>-0.32020281</v>
      </c>
      <c r="N216" s="28">
        <v>-0.33159504000000001</v>
      </c>
      <c r="O216" s="28">
        <v>-0.37860540999999998</v>
      </c>
      <c r="P216" s="28">
        <v>-0.42106990999999999</v>
      </c>
      <c r="Q216" s="28">
        <v>-0.41208274</v>
      </c>
      <c r="R216" s="28"/>
      <c r="S216" s="28" t="s">
        <v>172</v>
      </c>
      <c r="T216" s="28">
        <v>-0.58394902999999998</v>
      </c>
      <c r="U216" s="28">
        <v>-0.39350994</v>
      </c>
      <c r="V216" s="28">
        <v>-0.51785565</v>
      </c>
      <c r="W216" s="28">
        <v>-0.10444568999999999</v>
      </c>
    </row>
    <row r="217" spans="1:23">
      <c r="A217" s="28" t="e">
        <f t="shared" si="38"/>
        <v>#DIV/0!</v>
      </c>
      <c r="B217" s="28" t="e">
        <f t="shared" si="37"/>
        <v>#DIV/0!</v>
      </c>
      <c r="H217" s="28"/>
      <c r="I217" s="28" t="s">
        <v>174</v>
      </c>
      <c r="J217" s="28">
        <v>-0.25562613000000001</v>
      </c>
      <c r="K217" s="28">
        <v>-0.32999752999999998</v>
      </c>
      <c r="L217" s="28">
        <v>-0.34671932999999999</v>
      </c>
      <c r="M217" s="28">
        <v>-0.35974317</v>
      </c>
      <c r="N217" s="28">
        <v>-0.38587565000000001</v>
      </c>
      <c r="O217" s="28">
        <v>-0.41555505999999998</v>
      </c>
      <c r="P217" s="28">
        <v>-0.44047550000000002</v>
      </c>
      <c r="Q217" s="28">
        <v>-0.44799084</v>
      </c>
      <c r="R217" s="28"/>
      <c r="S217" s="28" t="s">
        <v>174</v>
      </c>
      <c r="T217" s="28">
        <v>-3.2356720999999999</v>
      </c>
      <c r="U217" s="28">
        <v>-3.0083240999999998</v>
      </c>
      <c r="V217" s="28">
        <v>-3.5510324</v>
      </c>
      <c r="W217" s="28">
        <v>-1.7237194</v>
      </c>
    </row>
    <row r="218" spans="1:23">
      <c r="A218" s="28" t="e">
        <f t="shared" si="38"/>
        <v>#DIV/0!</v>
      </c>
      <c r="B218" s="28" t="e">
        <f t="shared" si="37"/>
        <v>#DIV/0!</v>
      </c>
      <c r="H218" s="28"/>
      <c r="I218" s="28" t="s">
        <v>177</v>
      </c>
      <c r="J218" s="28">
        <v>0.62321283000000005</v>
      </c>
      <c r="K218" s="28">
        <v>0.45890014000000001</v>
      </c>
      <c r="L218" s="28">
        <v>0.39624351000000002</v>
      </c>
      <c r="M218" s="28">
        <v>0.36681409999999998</v>
      </c>
      <c r="N218" s="28">
        <v>0.35976566999999998</v>
      </c>
      <c r="O218" s="28">
        <v>0.35579904000000001</v>
      </c>
      <c r="P218" s="28">
        <v>0.33952906999999999</v>
      </c>
      <c r="Q218" s="28">
        <v>0.2997494</v>
      </c>
      <c r="R218" s="28"/>
      <c r="S218" s="28" t="s">
        <v>177</v>
      </c>
      <c r="T218" s="28">
        <v>0.23062219</v>
      </c>
      <c r="U218" s="28">
        <v>1.7126957000000002E-2</v>
      </c>
      <c r="V218" s="28">
        <v>-0.15167578000000001</v>
      </c>
      <c r="W218" s="28">
        <v>-2.3751543E-2</v>
      </c>
    </row>
    <row r="219" spans="1:23">
      <c r="A219" s="28" t="e">
        <f t="shared" si="38"/>
        <v>#DIV/0!</v>
      </c>
      <c r="B219" s="28" t="e">
        <f t="shared" si="37"/>
        <v>#DIV/0!</v>
      </c>
      <c r="H219" s="28"/>
      <c r="I219" s="28" t="s">
        <v>179</v>
      </c>
      <c r="J219" s="28">
        <v>0.19574786999999999</v>
      </c>
      <c r="K219" s="28">
        <v>0.23720441</v>
      </c>
      <c r="L219" s="28">
        <v>0.22081342000000001</v>
      </c>
      <c r="M219" s="28">
        <v>0.21151929</v>
      </c>
      <c r="N219" s="28">
        <v>0.22660236</v>
      </c>
      <c r="O219" s="28">
        <v>0.24959629999999999</v>
      </c>
      <c r="P219" s="28">
        <v>0.26694773999999999</v>
      </c>
      <c r="Q219" s="28">
        <v>0.26105641000000002</v>
      </c>
      <c r="R219" s="28"/>
      <c r="S219" s="28" t="s">
        <v>179</v>
      </c>
      <c r="T219" s="28">
        <v>16.275669000000001</v>
      </c>
      <c r="U219" s="28">
        <v>23.545017999999999</v>
      </c>
      <c r="V219" s="28">
        <v>15.065522</v>
      </c>
      <c r="W219" s="28">
        <v>-3.9368854</v>
      </c>
    </row>
    <row r="220" spans="1:23">
      <c r="A220" s="28" t="e">
        <f t="shared" si="38"/>
        <v>#DIV/0!</v>
      </c>
      <c r="B220" s="28" t="e">
        <f t="shared" si="37"/>
        <v>#DIV/0!</v>
      </c>
      <c r="H220" s="28"/>
      <c r="I220" s="28" t="s">
        <v>181</v>
      </c>
      <c r="J220" s="28">
        <v>-8.4198051999999995E-2</v>
      </c>
      <c r="K220" s="28">
        <v>-4.8766762999999998E-2</v>
      </c>
      <c r="L220" s="28">
        <v>-2.1901221000000001E-3</v>
      </c>
      <c r="M220" s="28">
        <v>1.7311732E-2</v>
      </c>
      <c r="N220" s="28">
        <v>1.5222153E-2</v>
      </c>
      <c r="O220" s="28">
        <v>5.3476195000000002E-3</v>
      </c>
      <c r="P220" s="28">
        <v>-7.7716961000000003E-3</v>
      </c>
      <c r="Q220" s="28">
        <v>-1.8123133999999999E-2</v>
      </c>
      <c r="R220" s="28"/>
      <c r="S220" s="28" t="s">
        <v>181</v>
      </c>
      <c r="T220" s="28">
        <v>1.9621074999999999</v>
      </c>
      <c r="U220" s="28">
        <v>0.57065891000000002</v>
      </c>
      <c r="V220" s="28">
        <v>-0.88901627000000005</v>
      </c>
      <c r="W220" s="28">
        <v>-0.74377057000000002</v>
      </c>
    </row>
    <row r="221" spans="1:23">
      <c r="A221" s="28" t="e">
        <f t="shared" si="38"/>
        <v>#DIV/0!</v>
      </c>
      <c r="B221" s="28" t="e">
        <f t="shared" si="37"/>
        <v>#DIV/0!</v>
      </c>
      <c r="H221" s="28"/>
      <c r="I221" s="28" t="s">
        <v>183</v>
      </c>
      <c r="J221" s="28">
        <v>-6.4788476999999997E-2</v>
      </c>
      <c r="K221" s="28">
        <v>-7.4770321000000001E-2</v>
      </c>
      <c r="L221" s="28">
        <v>-6.2505027000000005E-2</v>
      </c>
      <c r="M221" s="28">
        <v>-5.5412858000000002E-2</v>
      </c>
      <c r="N221" s="28">
        <v>-6.0028452000000003E-2</v>
      </c>
      <c r="O221" s="28">
        <v>-6.8242076999999998E-2</v>
      </c>
      <c r="P221" s="28">
        <v>-7.3499064000000003E-2</v>
      </c>
      <c r="Q221" s="28">
        <v>-6.7998643999999997E-2</v>
      </c>
      <c r="R221" s="28"/>
      <c r="S221" s="28" t="s">
        <v>183</v>
      </c>
      <c r="T221" s="28">
        <v>-3.1398708999999997E-2</v>
      </c>
      <c r="U221" s="28">
        <v>5.1323680000000003E-2</v>
      </c>
      <c r="V221" s="28">
        <v>-1.3906317E-2</v>
      </c>
      <c r="W221" s="28">
        <v>-1.7645180000000001E-3</v>
      </c>
    </row>
    <row r="222" spans="1:23">
      <c r="A222" s="28" t="e">
        <f t="shared" si="38"/>
        <v>#DIV/0!</v>
      </c>
      <c r="B222" s="28" t="e">
        <f t="shared" si="37"/>
        <v>#DIV/0!</v>
      </c>
      <c r="H222" s="28"/>
      <c r="I222" s="28" t="s">
        <v>185</v>
      </c>
      <c r="J222" s="28">
        <v>1.0155459E-2</v>
      </c>
      <c r="K222" s="28">
        <v>7.4394752999999997E-3</v>
      </c>
      <c r="L222" s="28">
        <v>1.242331E-2</v>
      </c>
      <c r="M222" s="28">
        <v>1.6082264999999998E-2</v>
      </c>
      <c r="N222" s="28">
        <v>1.8893001999999999E-2</v>
      </c>
      <c r="O222" s="28">
        <v>2.1133398000000001E-2</v>
      </c>
      <c r="P222" s="28">
        <v>2.1507036E-2</v>
      </c>
      <c r="Q222" s="28">
        <v>1.8286782000000001E-2</v>
      </c>
      <c r="R222" s="28"/>
      <c r="S222" s="28" t="s">
        <v>185</v>
      </c>
      <c r="T222" s="28">
        <v>-38.374149000000003</v>
      </c>
      <c r="U222" s="28">
        <v>-95.217179000000002</v>
      </c>
      <c r="V222" s="28">
        <v>-28.603919000000001</v>
      </c>
      <c r="W222" s="28">
        <v>-3.6278939000000001</v>
      </c>
    </row>
    <row r="223" spans="1:23">
      <c r="A223" s="28" t="e">
        <f t="shared" si="38"/>
        <v>#DIV/0!</v>
      </c>
      <c r="B223" s="28" t="e">
        <f t="shared" si="37"/>
        <v>#DIV/0!</v>
      </c>
      <c r="H223" s="28"/>
      <c r="I223" s="28" t="s">
        <v>187</v>
      </c>
      <c r="J223" s="28">
        <v>7.8116899999999996E-3</v>
      </c>
      <c r="K223" s="28">
        <v>8.6832235999999997E-3</v>
      </c>
      <c r="L223" s="28">
        <v>6.6100910000000002E-3</v>
      </c>
      <c r="M223" s="28">
        <v>5.4430996000000001E-3</v>
      </c>
      <c r="N223" s="28">
        <v>6.0266215E-3</v>
      </c>
      <c r="O223" s="28">
        <v>7.1093587999999999E-3</v>
      </c>
      <c r="P223" s="28">
        <v>7.6912485999999997E-3</v>
      </c>
      <c r="Q223" s="28">
        <v>6.6496814999999999E-3</v>
      </c>
      <c r="R223" s="28"/>
      <c r="S223" s="28" t="s">
        <v>187</v>
      </c>
      <c r="T223" s="28">
        <v>-4.2255646999999996</v>
      </c>
      <c r="U223" s="28">
        <v>-0.24379782</v>
      </c>
      <c r="V223" s="28">
        <v>4.7266801000000003</v>
      </c>
      <c r="W223" s="28">
        <v>-0.81224390999999996</v>
      </c>
    </row>
    <row r="224" spans="1:23">
      <c r="A224" s="28" t="e">
        <f t="shared" si="38"/>
        <v>#DIV/0!</v>
      </c>
      <c r="B224" s="28" t="e">
        <f t="shared" si="37"/>
        <v>#DIV/0!</v>
      </c>
      <c r="H224" s="28"/>
      <c r="I224" s="28" t="s">
        <v>189</v>
      </c>
      <c r="J224" s="28">
        <v>2.4635789000000002E-4</v>
      </c>
      <c r="K224" s="28">
        <v>-1.5279304999999999E-4</v>
      </c>
      <c r="L224" s="28">
        <v>1.5401392999999999E-4</v>
      </c>
      <c r="M224" s="28">
        <v>5.1278260999999999E-4</v>
      </c>
      <c r="N224" s="28">
        <v>7.1438443E-4</v>
      </c>
      <c r="O224" s="28">
        <v>8.4561726000000005E-4</v>
      </c>
      <c r="P224" s="28">
        <v>8.8810805999999995E-4</v>
      </c>
      <c r="Q224" s="28">
        <v>7.9576389000000003E-4</v>
      </c>
      <c r="R224" s="28"/>
      <c r="S224" s="28" t="s">
        <v>189</v>
      </c>
      <c r="T224" s="28">
        <v>-0.30743814000000003</v>
      </c>
      <c r="U224" s="28">
        <v>0.25439448999999997</v>
      </c>
      <c r="V224" s="28">
        <v>7.6866619999999997E-2</v>
      </c>
      <c r="W224" s="28">
        <v>-7.8672770000000003E-2</v>
      </c>
    </row>
    <row r="225" spans="1:2">
      <c r="A225" s="28" t="e">
        <f t="shared" si="38"/>
        <v>#DIV/0!</v>
      </c>
      <c r="B225" s="28" t="e">
        <f t="shared" ref="B225:B256" si="39">(EXP(((LN(A225)-$T$20)^2)/(-2*($T$21^2))))/(A225*$T$21*SQRT(2*PI()))</f>
        <v>#DIV/0!</v>
      </c>
    </row>
    <row r="226" spans="1:2">
      <c r="A226" s="28" t="e">
        <f t="shared" ref="A226:A260" si="40">A225+$B$158</f>
        <v>#DIV/0!</v>
      </c>
      <c r="B226" s="28" t="e">
        <f t="shared" si="39"/>
        <v>#DIV/0!</v>
      </c>
    </row>
    <row r="227" spans="1:2">
      <c r="A227" s="28" t="e">
        <f t="shared" si="40"/>
        <v>#DIV/0!</v>
      </c>
      <c r="B227" s="28" t="e">
        <f t="shared" si="39"/>
        <v>#DIV/0!</v>
      </c>
    </row>
    <row r="228" spans="1:2">
      <c r="A228" s="28" t="e">
        <f t="shared" si="40"/>
        <v>#DIV/0!</v>
      </c>
      <c r="B228" s="28" t="e">
        <f t="shared" si="39"/>
        <v>#DIV/0!</v>
      </c>
    </row>
    <row r="229" spans="1:2">
      <c r="A229" s="28" t="e">
        <f t="shared" si="40"/>
        <v>#DIV/0!</v>
      </c>
      <c r="B229" s="28" t="e">
        <f t="shared" si="39"/>
        <v>#DIV/0!</v>
      </c>
    </row>
    <row r="230" spans="1:2">
      <c r="A230" s="28" t="e">
        <f t="shared" si="40"/>
        <v>#DIV/0!</v>
      </c>
      <c r="B230" s="28" t="e">
        <f t="shared" si="39"/>
        <v>#DIV/0!</v>
      </c>
    </row>
    <row r="231" spans="1:2">
      <c r="A231" s="28" t="e">
        <f t="shared" si="40"/>
        <v>#DIV/0!</v>
      </c>
      <c r="B231" s="28" t="e">
        <f t="shared" si="39"/>
        <v>#DIV/0!</v>
      </c>
    </row>
    <row r="232" spans="1:2">
      <c r="A232" s="28" t="e">
        <f t="shared" si="40"/>
        <v>#DIV/0!</v>
      </c>
      <c r="B232" s="28" t="e">
        <f t="shared" si="39"/>
        <v>#DIV/0!</v>
      </c>
    </row>
    <row r="233" spans="1:2">
      <c r="A233" s="28" t="e">
        <f t="shared" si="40"/>
        <v>#DIV/0!</v>
      </c>
      <c r="B233" s="28" t="e">
        <f t="shared" si="39"/>
        <v>#DIV/0!</v>
      </c>
    </row>
    <row r="234" spans="1:2">
      <c r="A234" s="28" t="e">
        <f t="shared" si="40"/>
        <v>#DIV/0!</v>
      </c>
      <c r="B234" s="28" t="e">
        <f t="shared" si="39"/>
        <v>#DIV/0!</v>
      </c>
    </row>
    <row r="235" spans="1:2">
      <c r="A235" s="28" t="e">
        <f t="shared" si="40"/>
        <v>#DIV/0!</v>
      </c>
      <c r="B235" s="28" t="e">
        <f t="shared" si="39"/>
        <v>#DIV/0!</v>
      </c>
    </row>
    <row r="236" spans="1:2">
      <c r="A236" s="28" t="e">
        <f t="shared" si="40"/>
        <v>#DIV/0!</v>
      </c>
      <c r="B236" s="28" t="e">
        <f t="shared" si="39"/>
        <v>#DIV/0!</v>
      </c>
    </row>
    <row r="237" spans="1:2">
      <c r="A237" s="28" t="e">
        <f t="shared" si="40"/>
        <v>#DIV/0!</v>
      </c>
      <c r="B237" s="28" t="e">
        <f t="shared" si="39"/>
        <v>#DIV/0!</v>
      </c>
    </row>
    <row r="238" spans="1:2">
      <c r="A238" s="28" t="e">
        <f t="shared" si="40"/>
        <v>#DIV/0!</v>
      </c>
      <c r="B238" s="28" t="e">
        <f t="shared" si="39"/>
        <v>#DIV/0!</v>
      </c>
    </row>
    <row r="239" spans="1:2">
      <c r="A239" s="28" t="e">
        <f t="shared" si="40"/>
        <v>#DIV/0!</v>
      </c>
      <c r="B239" s="28" t="e">
        <f t="shared" si="39"/>
        <v>#DIV/0!</v>
      </c>
    </row>
    <row r="240" spans="1:2">
      <c r="A240" s="28" t="e">
        <f t="shared" si="40"/>
        <v>#DIV/0!</v>
      </c>
      <c r="B240" s="28" t="e">
        <f t="shared" si="39"/>
        <v>#DIV/0!</v>
      </c>
    </row>
    <row r="241" spans="1:2">
      <c r="A241" s="28" t="e">
        <f t="shared" si="40"/>
        <v>#DIV/0!</v>
      </c>
      <c r="B241" s="28" t="e">
        <f t="shared" si="39"/>
        <v>#DIV/0!</v>
      </c>
    </row>
    <row r="242" spans="1:2">
      <c r="A242" s="28" t="e">
        <f t="shared" si="40"/>
        <v>#DIV/0!</v>
      </c>
      <c r="B242" s="28" t="e">
        <f t="shared" si="39"/>
        <v>#DIV/0!</v>
      </c>
    </row>
    <row r="243" spans="1:2">
      <c r="A243" s="28" t="e">
        <f t="shared" si="40"/>
        <v>#DIV/0!</v>
      </c>
      <c r="B243" s="28" t="e">
        <f t="shared" si="39"/>
        <v>#DIV/0!</v>
      </c>
    </row>
    <row r="244" spans="1:2">
      <c r="A244" s="28" t="e">
        <f t="shared" si="40"/>
        <v>#DIV/0!</v>
      </c>
      <c r="B244" s="28" t="e">
        <f t="shared" si="39"/>
        <v>#DIV/0!</v>
      </c>
    </row>
    <row r="245" spans="1:2">
      <c r="A245" s="28" t="e">
        <f t="shared" si="40"/>
        <v>#DIV/0!</v>
      </c>
      <c r="B245" s="28" t="e">
        <f t="shared" si="39"/>
        <v>#DIV/0!</v>
      </c>
    </row>
    <row r="246" spans="1:2">
      <c r="A246" s="28" t="e">
        <f t="shared" si="40"/>
        <v>#DIV/0!</v>
      </c>
      <c r="B246" s="28" t="e">
        <f t="shared" si="39"/>
        <v>#DIV/0!</v>
      </c>
    </row>
    <row r="247" spans="1:2">
      <c r="A247" s="28" t="e">
        <f t="shared" si="40"/>
        <v>#DIV/0!</v>
      </c>
      <c r="B247" s="28" t="e">
        <f t="shared" si="39"/>
        <v>#DIV/0!</v>
      </c>
    </row>
    <row r="248" spans="1:2">
      <c r="A248" s="28" t="e">
        <f t="shared" si="40"/>
        <v>#DIV/0!</v>
      </c>
      <c r="B248" s="28" t="e">
        <f t="shared" si="39"/>
        <v>#DIV/0!</v>
      </c>
    </row>
    <row r="249" spans="1:2">
      <c r="A249" s="28" t="e">
        <f t="shared" si="40"/>
        <v>#DIV/0!</v>
      </c>
      <c r="B249" s="28" t="e">
        <f t="shared" si="39"/>
        <v>#DIV/0!</v>
      </c>
    </row>
    <row r="250" spans="1:2">
      <c r="A250" s="28" t="e">
        <f t="shared" si="40"/>
        <v>#DIV/0!</v>
      </c>
      <c r="B250" s="28" t="e">
        <f t="shared" si="39"/>
        <v>#DIV/0!</v>
      </c>
    </row>
    <row r="251" spans="1:2">
      <c r="A251" s="28" t="e">
        <f t="shared" si="40"/>
        <v>#DIV/0!</v>
      </c>
      <c r="B251" s="28" t="e">
        <f t="shared" si="39"/>
        <v>#DIV/0!</v>
      </c>
    </row>
    <row r="252" spans="1:2">
      <c r="A252" s="28" t="e">
        <f t="shared" si="40"/>
        <v>#DIV/0!</v>
      </c>
      <c r="B252" s="28" t="e">
        <f t="shared" si="39"/>
        <v>#DIV/0!</v>
      </c>
    </row>
    <row r="253" spans="1:2">
      <c r="A253" s="28" t="e">
        <f t="shared" si="40"/>
        <v>#DIV/0!</v>
      </c>
      <c r="B253" s="28" t="e">
        <f t="shared" si="39"/>
        <v>#DIV/0!</v>
      </c>
    </row>
    <row r="254" spans="1:2">
      <c r="A254" s="28" t="e">
        <f t="shared" si="40"/>
        <v>#DIV/0!</v>
      </c>
      <c r="B254" s="28" t="e">
        <f t="shared" si="39"/>
        <v>#DIV/0!</v>
      </c>
    </row>
    <row r="255" spans="1:2">
      <c r="A255" s="28" t="e">
        <f t="shared" si="40"/>
        <v>#DIV/0!</v>
      </c>
      <c r="B255" s="28" t="e">
        <f t="shared" si="39"/>
        <v>#DIV/0!</v>
      </c>
    </row>
    <row r="256" spans="1:2">
      <c r="A256" s="28" t="e">
        <f t="shared" si="40"/>
        <v>#DIV/0!</v>
      </c>
      <c r="B256" s="28" t="e">
        <f t="shared" si="39"/>
        <v>#DIV/0!</v>
      </c>
    </row>
    <row r="257" spans="1:50">
      <c r="A257" s="28" t="e">
        <f t="shared" si="40"/>
        <v>#DIV/0!</v>
      </c>
      <c r="B257" s="28" t="e">
        <f>(EXP(((LN(A257)-$T$20)^2)/(-2*($T$21^2))))/(A257*$T$21*SQRT(2*PI()))</f>
        <v>#DIV/0!</v>
      </c>
    </row>
    <row r="258" spans="1:50">
      <c r="A258" s="28" t="e">
        <f t="shared" si="40"/>
        <v>#DIV/0!</v>
      </c>
      <c r="B258" s="28" t="e">
        <f>(EXP(((LN(A258)-$T$20)^2)/(-2*($T$21^2))))/(A258*$T$21*SQRT(2*PI()))</f>
        <v>#DIV/0!</v>
      </c>
    </row>
    <row r="259" spans="1:50">
      <c r="A259" s="28" t="e">
        <f t="shared" si="40"/>
        <v>#DIV/0!</v>
      </c>
      <c r="B259" s="28" t="e">
        <f>(EXP(((LN(A259)-$T$20)^2)/(-2*($T$21^2))))/(A259*$T$21*SQRT(2*PI()))</f>
        <v>#DIV/0!</v>
      </c>
    </row>
    <row r="260" spans="1:50">
      <c r="A260" s="28" t="e">
        <f t="shared" si="40"/>
        <v>#DIV/0!</v>
      </c>
      <c r="B260" s="28" t="e">
        <f>(EXP(((LN(A260)-$T$20)^2)/(-2*($T$21^2))))/(A260*$T$21*SQRT(2*PI()))</f>
        <v>#DIV/0!</v>
      </c>
    </row>
    <row r="271" spans="1:50">
      <c r="A271" s="28" t="s">
        <v>226</v>
      </c>
    </row>
    <row r="272" spans="1:50">
      <c r="B272" s="28">
        <v>2</v>
      </c>
      <c r="C272" s="29">
        <v>3</v>
      </c>
      <c r="D272" s="29">
        <v>4</v>
      </c>
      <c r="E272" s="29">
        <v>5</v>
      </c>
      <c r="F272" s="29">
        <v>6</v>
      </c>
      <c r="G272" s="29">
        <v>7</v>
      </c>
      <c r="H272" s="29">
        <v>8</v>
      </c>
      <c r="I272" s="29">
        <v>9</v>
      </c>
      <c r="J272" s="29">
        <v>10</v>
      </c>
      <c r="K272" s="29">
        <v>11</v>
      </c>
      <c r="L272" s="29">
        <v>12</v>
      </c>
      <c r="M272" s="29">
        <v>13</v>
      </c>
      <c r="N272" s="29">
        <v>14</v>
      </c>
      <c r="O272" s="29">
        <v>15</v>
      </c>
      <c r="P272" s="29">
        <v>16</v>
      </c>
      <c r="Q272" s="29">
        <v>17</v>
      </c>
      <c r="R272" s="29">
        <v>18</v>
      </c>
      <c r="S272" s="30">
        <v>19</v>
      </c>
      <c r="T272" s="28">
        <v>20</v>
      </c>
      <c r="U272" s="28">
        <v>21</v>
      </c>
      <c r="V272" s="28">
        <v>22</v>
      </c>
      <c r="W272" s="28">
        <v>23</v>
      </c>
      <c r="X272" s="28">
        <v>24</v>
      </c>
      <c r="Y272" s="28">
        <v>25</v>
      </c>
      <c r="Z272" s="28">
        <v>26</v>
      </c>
      <c r="AA272" s="28">
        <v>27</v>
      </c>
      <c r="AB272" s="28">
        <v>28</v>
      </c>
      <c r="AC272" s="28">
        <v>29</v>
      </c>
      <c r="AD272" s="28">
        <v>30</v>
      </c>
      <c r="AE272" s="28">
        <v>31</v>
      </c>
      <c r="AF272" s="28">
        <v>32</v>
      </c>
      <c r="AG272" s="28">
        <v>33</v>
      </c>
      <c r="AH272" s="28">
        <v>34</v>
      </c>
      <c r="AI272" s="28">
        <v>35</v>
      </c>
      <c r="AJ272" s="28">
        <v>36</v>
      </c>
      <c r="AK272" s="28">
        <v>37</v>
      </c>
      <c r="AL272" s="28">
        <v>38</v>
      </c>
      <c r="AM272" s="28">
        <v>39</v>
      </c>
      <c r="AN272" s="28">
        <v>40</v>
      </c>
      <c r="AO272" s="28">
        <v>41</v>
      </c>
      <c r="AP272" s="28">
        <v>42</v>
      </c>
      <c r="AQ272" s="28">
        <v>43</v>
      </c>
      <c r="AR272" s="28">
        <v>44</v>
      </c>
      <c r="AS272" s="28">
        <v>45</v>
      </c>
      <c r="AT272" s="28">
        <v>46</v>
      </c>
      <c r="AU272" s="28">
        <v>47</v>
      </c>
      <c r="AV272" s="28">
        <v>48</v>
      </c>
      <c r="AW272" s="28">
        <v>49</v>
      </c>
      <c r="AX272" s="28">
        <v>50</v>
      </c>
    </row>
    <row r="273" spans="1:50">
      <c r="A273" s="28">
        <v>1</v>
      </c>
      <c r="B273" s="28">
        <v>0.70709999999999995</v>
      </c>
      <c r="C273" s="29">
        <v>0.70709999999999995</v>
      </c>
      <c r="D273" s="29">
        <v>0.68720000000000003</v>
      </c>
      <c r="E273" s="29">
        <v>0.66459999999999997</v>
      </c>
      <c r="F273" s="29">
        <v>0.6431</v>
      </c>
      <c r="G273" s="29">
        <v>0.62329999999999997</v>
      </c>
      <c r="H273" s="29">
        <v>0.60519999999999996</v>
      </c>
      <c r="I273" s="29">
        <v>0.58879999999999999</v>
      </c>
      <c r="J273" s="29">
        <v>0.57389999999999997</v>
      </c>
      <c r="K273" s="29">
        <v>0.56010000000000004</v>
      </c>
      <c r="L273" s="29">
        <v>0.54749999999999999</v>
      </c>
      <c r="M273" s="29">
        <v>0.53590000000000004</v>
      </c>
      <c r="N273" s="29">
        <v>0.52510000000000001</v>
      </c>
      <c r="O273" s="29">
        <v>0.51500000000000001</v>
      </c>
      <c r="P273" s="29">
        <v>0.50560000000000005</v>
      </c>
      <c r="Q273" s="29">
        <v>0.49680000000000002</v>
      </c>
      <c r="R273" s="29">
        <v>0.48859999999999998</v>
      </c>
      <c r="S273" s="30">
        <v>0.48080000000000001</v>
      </c>
      <c r="T273" s="28">
        <v>0.47339999999999999</v>
      </c>
      <c r="U273" s="28">
        <v>0.46429999999999999</v>
      </c>
      <c r="V273" s="28">
        <v>0.45900000000000002</v>
      </c>
      <c r="W273" s="28">
        <v>0.45419999999999999</v>
      </c>
      <c r="X273" s="28">
        <v>0.44929999999999998</v>
      </c>
      <c r="Y273" s="28">
        <v>0.44500000000000001</v>
      </c>
      <c r="Z273" s="28">
        <v>0.44069999999999998</v>
      </c>
      <c r="AA273" s="28">
        <v>0.43659999999999999</v>
      </c>
      <c r="AB273" s="28">
        <v>0.43280000000000002</v>
      </c>
      <c r="AC273" s="28">
        <v>0.42909999999999998</v>
      </c>
      <c r="AD273" s="28">
        <v>0.4254</v>
      </c>
      <c r="AE273" s="28">
        <v>0.42199999999999999</v>
      </c>
      <c r="AF273" s="28">
        <v>0.41880000000000001</v>
      </c>
      <c r="AG273" s="28">
        <v>0.41560000000000002</v>
      </c>
      <c r="AH273" s="28">
        <v>0.41270000000000001</v>
      </c>
      <c r="AI273" s="28">
        <v>0.40960000000000002</v>
      </c>
      <c r="AJ273" s="28">
        <v>0.40679999999999999</v>
      </c>
      <c r="AK273" s="28">
        <v>0.40400000000000003</v>
      </c>
      <c r="AL273" s="28">
        <v>0.40150000000000002</v>
      </c>
      <c r="AM273" s="28">
        <v>0.39889999999999998</v>
      </c>
      <c r="AN273" s="28">
        <v>0.39639999999999997</v>
      </c>
      <c r="AO273" s="28">
        <v>0.39400000000000002</v>
      </c>
      <c r="AP273" s="28">
        <v>0.39169999999999999</v>
      </c>
      <c r="AQ273" s="28">
        <v>0.38940000000000002</v>
      </c>
      <c r="AR273" s="28">
        <v>0.38719999999999999</v>
      </c>
      <c r="AS273" s="28">
        <v>0.38500000000000001</v>
      </c>
      <c r="AT273" s="28">
        <v>0.38300000000000001</v>
      </c>
      <c r="AU273" s="28">
        <v>0.38080000000000003</v>
      </c>
      <c r="AV273" s="28">
        <v>0.37890000000000001</v>
      </c>
      <c r="AW273" s="28">
        <v>0.377</v>
      </c>
      <c r="AX273" s="28">
        <v>0.37509999999999999</v>
      </c>
    </row>
    <row r="274" spans="1:50">
      <c r="A274" s="28">
        <v>2</v>
      </c>
      <c r="C274" s="29">
        <v>0</v>
      </c>
      <c r="D274" s="29">
        <v>0.16769999999999999</v>
      </c>
      <c r="E274" s="29">
        <v>0.24129999999999999</v>
      </c>
      <c r="F274" s="29">
        <v>0.28960000000000002</v>
      </c>
      <c r="G274" s="29">
        <v>0.30309999999999998</v>
      </c>
      <c r="H274" s="29">
        <v>0.31640000000000001</v>
      </c>
      <c r="I274" s="29">
        <v>0.32440000000000002</v>
      </c>
      <c r="J274" s="29">
        <v>0.3291</v>
      </c>
      <c r="K274" s="29">
        <v>0.33150000000000002</v>
      </c>
      <c r="L274" s="29">
        <v>0.33250000000000002</v>
      </c>
      <c r="M274" s="29">
        <v>0.33250000000000002</v>
      </c>
      <c r="N274" s="29">
        <v>0.33179999999999998</v>
      </c>
      <c r="O274" s="29">
        <v>0.3306</v>
      </c>
      <c r="P274" s="29">
        <v>0.32900000000000001</v>
      </c>
      <c r="Q274" s="29">
        <v>0.32729999999999998</v>
      </c>
      <c r="R274" s="29">
        <v>0.32529999999999998</v>
      </c>
      <c r="S274" s="30">
        <v>0.32319999999999999</v>
      </c>
      <c r="T274" s="28">
        <v>0.3211</v>
      </c>
      <c r="U274" s="28">
        <v>0.31850000000000001</v>
      </c>
      <c r="V274" s="28">
        <v>0.31559999999999999</v>
      </c>
      <c r="W274" s="28">
        <v>0.31259999999999999</v>
      </c>
      <c r="X274" s="28">
        <v>0.30980000000000002</v>
      </c>
      <c r="Y274" s="28">
        <v>0.30690000000000001</v>
      </c>
      <c r="Z274" s="28">
        <v>0.30430000000000001</v>
      </c>
      <c r="AA274" s="28">
        <v>0.30180000000000001</v>
      </c>
      <c r="AB274" s="28">
        <v>0.29920000000000002</v>
      </c>
      <c r="AC274" s="28">
        <v>0.29680000000000001</v>
      </c>
      <c r="AD274" s="28">
        <v>0.2944</v>
      </c>
      <c r="AE274" s="28">
        <v>0.29210000000000003</v>
      </c>
      <c r="AF274" s="28">
        <v>0.2898</v>
      </c>
      <c r="AG274" s="28">
        <v>2876</v>
      </c>
      <c r="AH274" s="28">
        <v>0.28539999999999999</v>
      </c>
      <c r="AI274" s="28">
        <v>0.28339999999999999</v>
      </c>
      <c r="AJ274" s="28">
        <v>0.28129999999999999</v>
      </c>
      <c r="AK274" s="28">
        <v>0.27939999999999998</v>
      </c>
      <c r="AL274" s="28">
        <v>0.27739999999999998</v>
      </c>
      <c r="AM274" s="28">
        <v>0.27550000000000002</v>
      </c>
      <c r="AN274" s="28">
        <v>0.2737</v>
      </c>
      <c r="AO274" s="28">
        <v>0.27189999999999998</v>
      </c>
      <c r="AP274" s="28">
        <v>0.27010000000000001</v>
      </c>
      <c r="AQ274" s="28">
        <v>0.26840000000000003</v>
      </c>
      <c r="AR274" s="28">
        <v>0.26669999999999999</v>
      </c>
      <c r="AS274" s="28">
        <v>0.2651</v>
      </c>
      <c r="AT274" s="28">
        <v>0.26350000000000001</v>
      </c>
      <c r="AU274" s="28">
        <v>0.26200000000000001</v>
      </c>
      <c r="AV274" s="28">
        <v>0.26040000000000002</v>
      </c>
      <c r="AW274" s="28">
        <v>0.25890000000000002</v>
      </c>
      <c r="AX274" s="28">
        <v>0.25740000000000002</v>
      </c>
    </row>
    <row r="275" spans="1:50">
      <c r="A275" s="28">
        <v>3</v>
      </c>
      <c r="E275" s="29">
        <v>0</v>
      </c>
      <c r="F275" s="29">
        <v>8.7499999999999994E-2</v>
      </c>
      <c r="G275" s="29">
        <v>0.1401</v>
      </c>
      <c r="H275" s="29">
        <v>0.17430000000000001</v>
      </c>
      <c r="I275" s="29">
        <v>0.1976</v>
      </c>
      <c r="J275" s="29">
        <v>0.21410000000000001</v>
      </c>
      <c r="K275" s="29">
        <v>0.22600000000000001</v>
      </c>
      <c r="L275" s="29">
        <v>0.23469999999999999</v>
      </c>
      <c r="M275" s="29">
        <v>0.2412</v>
      </c>
      <c r="N275" s="29">
        <v>0.246</v>
      </c>
      <c r="O275" s="29">
        <v>0.2495</v>
      </c>
      <c r="P275" s="29">
        <v>0.25209999999999999</v>
      </c>
      <c r="Q275" s="29">
        <v>0.254</v>
      </c>
      <c r="R275" s="29">
        <v>0.25530000000000003</v>
      </c>
      <c r="S275" s="30">
        <v>0.25609999999999999</v>
      </c>
      <c r="T275" s="28">
        <v>0.25650000000000001</v>
      </c>
      <c r="U275" s="28">
        <v>0.25779999999999997</v>
      </c>
      <c r="V275" s="28">
        <v>0.2571</v>
      </c>
      <c r="W275" s="28">
        <v>0.25629999999999997</v>
      </c>
      <c r="X275" s="28">
        <v>0.25540000000000002</v>
      </c>
      <c r="Y275" s="28">
        <v>0.25430000000000003</v>
      </c>
      <c r="Z275" s="28">
        <v>0.25330000000000003</v>
      </c>
      <c r="AA275" s="28">
        <v>0.25219999999999998</v>
      </c>
      <c r="AB275" s="28">
        <v>0.251</v>
      </c>
      <c r="AC275" s="28">
        <v>0.24990000000000001</v>
      </c>
      <c r="AD275" s="28">
        <v>0.2487</v>
      </c>
      <c r="AE275" s="28">
        <v>0.2475</v>
      </c>
      <c r="AF275" s="28">
        <v>0.2462</v>
      </c>
      <c r="AG275" s="28">
        <v>0.24510000000000001</v>
      </c>
      <c r="AH275" s="28">
        <v>0.24390000000000001</v>
      </c>
      <c r="AI275" s="28">
        <v>0.2427</v>
      </c>
      <c r="AJ275" s="28">
        <v>0.24149999999999999</v>
      </c>
      <c r="AK275" s="28">
        <v>0.24030000000000001</v>
      </c>
      <c r="AL275" s="28">
        <v>0.23910000000000001</v>
      </c>
      <c r="AM275" s="28">
        <v>0.23799999999999999</v>
      </c>
      <c r="AN275" s="28">
        <v>0.23680000000000001</v>
      </c>
      <c r="AO275" s="28">
        <v>0.23569999999999999</v>
      </c>
      <c r="AP275" s="28">
        <v>0.23449999999999999</v>
      </c>
      <c r="AQ275" s="28">
        <v>0.2334</v>
      </c>
      <c r="AR275" s="28">
        <v>0.23230000000000001</v>
      </c>
      <c r="AS275" s="28">
        <v>0.23130000000000001</v>
      </c>
      <c r="AT275" s="28">
        <v>0.23019999999999999</v>
      </c>
      <c r="AU275" s="28">
        <v>0.2291</v>
      </c>
      <c r="AV275" s="28">
        <v>0.2281</v>
      </c>
      <c r="AW275" s="28">
        <v>0.2271</v>
      </c>
      <c r="AX275" s="28">
        <v>0.22600000000000001</v>
      </c>
    </row>
    <row r="276" spans="1:50">
      <c r="A276" s="28">
        <v>4</v>
      </c>
      <c r="G276" s="29">
        <v>0</v>
      </c>
      <c r="H276" s="29">
        <v>5.6099999999999997E-2</v>
      </c>
      <c r="I276" s="29">
        <v>9.4700000000000006E-2</v>
      </c>
      <c r="J276" s="29">
        <v>0.12239999999999999</v>
      </c>
      <c r="K276" s="29">
        <v>0.1429</v>
      </c>
      <c r="L276" s="29">
        <v>0.15859999999999999</v>
      </c>
      <c r="M276" s="29">
        <v>0.17069999999999999</v>
      </c>
      <c r="N276" s="29">
        <v>0.1802</v>
      </c>
      <c r="O276" s="29">
        <v>0.18779999999999999</v>
      </c>
      <c r="P276" s="29">
        <v>0.19389999999999999</v>
      </c>
      <c r="Q276" s="29">
        <v>0.1988</v>
      </c>
      <c r="R276" s="29">
        <v>0.20269999999999999</v>
      </c>
      <c r="S276" s="30">
        <v>0.2059</v>
      </c>
      <c r="T276" s="28">
        <v>0.20849999999999999</v>
      </c>
      <c r="U276" s="28">
        <v>0.21190000000000001</v>
      </c>
      <c r="V276" s="28">
        <v>0.21310000000000001</v>
      </c>
      <c r="W276" s="28">
        <v>0.21390000000000001</v>
      </c>
      <c r="X276" s="28">
        <v>0.2145</v>
      </c>
      <c r="Y276" s="28">
        <v>0.21479999999999999</v>
      </c>
      <c r="Z276" s="28">
        <v>0.21510000000000001</v>
      </c>
      <c r="AA276" s="28">
        <v>0.2152</v>
      </c>
      <c r="AB276" s="28">
        <v>0.21510000000000001</v>
      </c>
      <c r="AC276" s="28">
        <v>0.215</v>
      </c>
      <c r="AD276" s="28">
        <v>0.21479999999999999</v>
      </c>
      <c r="AE276" s="28">
        <v>0.2145</v>
      </c>
      <c r="AF276" s="28">
        <v>0.21410000000000001</v>
      </c>
      <c r="AG276" s="28">
        <v>0.2137</v>
      </c>
      <c r="AH276" s="28">
        <v>0.2132</v>
      </c>
      <c r="AI276" s="28">
        <v>0.2127</v>
      </c>
      <c r="AJ276" s="28">
        <v>0.21210000000000001</v>
      </c>
      <c r="AK276" s="28">
        <v>0.21160000000000001</v>
      </c>
      <c r="AL276" s="28">
        <v>0.21099999999999999</v>
      </c>
      <c r="AM276" s="28">
        <v>0.2104</v>
      </c>
      <c r="AN276" s="28">
        <v>0.20979999999999999</v>
      </c>
      <c r="AO276" s="28">
        <v>0.20910000000000001</v>
      </c>
      <c r="AP276" s="28">
        <v>0.20849999999999999</v>
      </c>
      <c r="AQ276" s="28">
        <v>0.20780000000000001</v>
      </c>
      <c r="AR276" s="28">
        <v>0.2072</v>
      </c>
      <c r="AS276" s="28">
        <v>0.20649999999999999</v>
      </c>
      <c r="AT276" s="28">
        <v>0.20580000000000001</v>
      </c>
      <c r="AU276" s="28">
        <v>0.20519999999999999</v>
      </c>
      <c r="AV276" s="28">
        <v>0.20449999999999999</v>
      </c>
      <c r="AW276" s="28">
        <v>0.20380000000000001</v>
      </c>
      <c r="AX276" s="28">
        <v>0.20319999999999999</v>
      </c>
    </row>
    <row r="277" spans="1:50">
      <c r="A277" s="28">
        <v>5</v>
      </c>
      <c r="I277" s="29">
        <v>0</v>
      </c>
      <c r="J277" s="29">
        <v>3.9899999999999998E-2</v>
      </c>
      <c r="K277" s="29">
        <v>6.9500000000000006E-2</v>
      </c>
      <c r="L277" s="29">
        <v>9.2200000000000004E-2</v>
      </c>
      <c r="M277" s="29">
        <v>0.1099</v>
      </c>
      <c r="N277" s="29">
        <v>0.124</v>
      </c>
      <c r="O277" s="29">
        <v>0.1353</v>
      </c>
      <c r="P277" s="29">
        <v>0.1447</v>
      </c>
      <c r="Q277" s="29">
        <v>0.15240000000000001</v>
      </c>
      <c r="R277" s="29">
        <v>0.15870000000000001</v>
      </c>
      <c r="S277" s="30">
        <v>0.1641</v>
      </c>
      <c r="T277" s="28">
        <v>0.1686</v>
      </c>
      <c r="U277" s="28">
        <v>0.1736</v>
      </c>
      <c r="V277" s="28">
        <v>0.1764</v>
      </c>
      <c r="W277" s="28">
        <v>0.1787</v>
      </c>
      <c r="X277" s="28">
        <v>0.1807</v>
      </c>
      <c r="Y277" s="28">
        <v>0.1822</v>
      </c>
      <c r="Z277" s="28">
        <v>0.18360000000000001</v>
      </c>
      <c r="AA277" s="28">
        <v>0.18479999999999999</v>
      </c>
      <c r="AB277" s="28">
        <v>0.1857</v>
      </c>
      <c r="AC277" s="28">
        <v>0.18640000000000001</v>
      </c>
      <c r="AD277" s="28">
        <v>0.187</v>
      </c>
      <c r="AE277" s="28">
        <v>0.18740000000000001</v>
      </c>
      <c r="AF277" s="28">
        <v>0.18779999999999999</v>
      </c>
      <c r="AG277" s="28">
        <v>0.188</v>
      </c>
      <c r="AH277" s="28">
        <v>0.18820000000000001</v>
      </c>
      <c r="AI277" s="28">
        <v>0.1883</v>
      </c>
      <c r="AJ277" s="28">
        <v>0.1883</v>
      </c>
      <c r="AK277" s="28">
        <v>0.1883</v>
      </c>
      <c r="AL277" s="28">
        <v>0.18809999999999999</v>
      </c>
      <c r="AM277" s="28">
        <v>0.188</v>
      </c>
      <c r="AN277" s="28">
        <v>0.18779999999999999</v>
      </c>
      <c r="AO277" s="28">
        <v>0.18759999999999999</v>
      </c>
      <c r="AP277" s="28">
        <v>0.18740000000000001</v>
      </c>
      <c r="AQ277" s="28">
        <v>0.18709999999999999</v>
      </c>
      <c r="AR277" s="28">
        <v>0.18679999999999999</v>
      </c>
      <c r="AS277" s="28">
        <v>0.1865</v>
      </c>
      <c r="AT277" s="28">
        <v>0.1862</v>
      </c>
      <c r="AU277" s="28">
        <v>0.18590000000000001</v>
      </c>
      <c r="AV277" s="28">
        <v>0.1855</v>
      </c>
      <c r="AW277" s="28">
        <v>0.18509999999999999</v>
      </c>
      <c r="AX277" s="28">
        <v>0.1847</v>
      </c>
    </row>
    <row r="278" spans="1:50">
      <c r="A278" s="28">
        <v>6</v>
      </c>
      <c r="K278" s="29">
        <v>0</v>
      </c>
      <c r="L278" s="29">
        <v>3.0300000000000001E-2</v>
      </c>
      <c r="M278" s="29">
        <v>5.3900000000000003E-2</v>
      </c>
      <c r="N278" s="29">
        <v>7.2700000000000001E-2</v>
      </c>
      <c r="O278" s="29">
        <v>8.7999999999999995E-2</v>
      </c>
      <c r="P278" s="29">
        <v>0.10050000000000001</v>
      </c>
      <c r="Q278" s="29">
        <v>0.1109</v>
      </c>
      <c r="R278" s="29">
        <v>0.1197</v>
      </c>
      <c r="S278" s="30">
        <v>0.12709999999999999</v>
      </c>
      <c r="T278" s="28">
        <v>0.13339999999999999</v>
      </c>
      <c r="U278" s="28">
        <v>0.1399</v>
      </c>
      <c r="V278" s="28">
        <v>0.14430000000000001</v>
      </c>
      <c r="W278" s="28">
        <v>0.14799999999999999</v>
      </c>
      <c r="X278" s="28">
        <v>0.1512</v>
      </c>
      <c r="Y278" s="28">
        <v>0.15390000000000001</v>
      </c>
      <c r="Z278" s="28">
        <v>0.15629999999999999</v>
      </c>
      <c r="AA278" s="28">
        <v>0.15840000000000001</v>
      </c>
      <c r="AB278" s="28">
        <v>0.16009999999999999</v>
      </c>
      <c r="AC278" s="28">
        <v>0.16159999999999999</v>
      </c>
      <c r="AD278" s="28">
        <v>0.16300000000000001</v>
      </c>
      <c r="AE278" s="28">
        <v>0.1641</v>
      </c>
      <c r="AF278" s="28">
        <v>0.1651</v>
      </c>
      <c r="AG278" s="28">
        <v>0.16600000000000001</v>
      </c>
      <c r="AH278" s="28">
        <v>0.16669999999999999</v>
      </c>
      <c r="AI278" s="28">
        <v>0.1673</v>
      </c>
      <c r="AJ278" s="28">
        <v>0.1678</v>
      </c>
      <c r="AK278" s="28">
        <v>0.16830000000000001</v>
      </c>
      <c r="AL278" s="28">
        <v>0.1686</v>
      </c>
      <c r="AM278" s="28">
        <v>0.16889999999999999</v>
      </c>
      <c r="AN278" s="28">
        <v>0.1691</v>
      </c>
      <c r="AO278" s="28">
        <v>0.16930000000000001</v>
      </c>
      <c r="AP278" s="28">
        <v>0.1694</v>
      </c>
      <c r="AQ278" s="28">
        <v>0.16950000000000001</v>
      </c>
      <c r="AR278" s="28">
        <v>0.16950000000000001</v>
      </c>
      <c r="AS278" s="28">
        <v>0.16950000000000001</v>
      </c>
      <c r="AT278" s="28">
        <v>0.16950000000000001</v>
      </c>
      <c r="AU278" s="28">
        <v>0.16950000000000001</v>
      </c>
      <c r="AV278" s="28">
        <v>0.16930000000000001</v>
      </c>
      <c r="AW278" s="28">
        <v>0.16919999999999999</v>
      </c>
      <c r="AX278" s="28">
        <v>0.1691</v>
      </c>
    </row>
    <row r="279" spans="1:50">
      <c r="A279" s="28">
        <v>7</v>
      </c>
      <c r="M279" s="29">
        <v>0</v>
      </c>
      <c r="N279" s="29">
        <v>2.4E-2</v>
      </c>
      <c r="O279" s="29">
        <v>4.3299999999999998E-2</v>
      </c>
      <c r="P279" s="29">
        <v>5.9299999999999999E-2</v>
      </c>
      <c r="Q279" s="29">
        <v>7.2499999999999995E-2</v>
      </c>
      <c r="R279" s="29">
        <v>8.3699999999999997E-2</v>
      </c>
      <c r="S279" s="30">
        <v>9.3200000000000005E-2</v>
      </c>
      <c r="T279" s="28">
        <v>0.1013</v>
      </c>
      <c r="U279" s="28">
        <v>0.10920000000000001</v>
      </c>
      <c r="V279" s="28">
        <v>0.115</v>
      </c>
      <c r="W279" s="28">
        <v>0.1201</v>
      </c>
      <c r="X279" s="28">
        <v>0.1245</v>
      </c>
      <c r="Y279" s="28">
        <v>0.1283</v>
      </c>
      <c r="Z279" s="28">
        <v>0.13159999999999999</v>
      </c>
      <c r="AA279" s="28">
        <v>0.1346</v>
      </c>
      <c r="AB279" s="28">
        <v>0.13719999999999999</v>
      </c>
      <c r="AC279" s="28">
        <v>0.13950000000000001</v>
      </c>
      <c r="AD279" s="28">
        <v>0.14149999999999999</v>
      </c>
      <c r="AE279" s="28">
        <v>0.14330000000000001</v>
      </c>
      <c r="AF279" s="28">
        <v>0.1449</v>
      </c>
      <c r="AG279" s="28">
        <v>0.14630000000000001</v>
      </c>
      <c r="AH279" s="28">
        <v>0.14749999999999999</v>
      </c>
      <c r="AI279" s="28">
        <v>0.1487</v>
      </c>
      <c r="AJ279" s="28">
        <v>0.14960000000000001</v>
      </c>
      <c r="AK279" s="28">
        <v>0.15049999999999999</v>
      </c>
      <c r="AL279" s="28">
        <v>0.15129999999999999</v>
      </c>
      <c r="AM279" s="28">
        <v>0.152</v>
      </c>
      <c r="AN279" s="28">
        <v>0.15260000000000001</v>
      </c>
      <c r="AO279" s="28">
        <v>0.15310000000000001</v>
      </c>
      <c r="AP279" s="28">
        <v>0.1535</v>
      </c>
      <c r="AQ279" s="28">
        <v>0.15390000000000001</v>
      </c>
      <c r="AR279" s="28">
        <v>0.1542</v>
      </c>
      <c r="AS279" s="28">
        <v>0.1545</v>
      </c>
      <c r="AT279" s="28">
        <v>0.15479999999999999</v>
      </c>
      <c r="AU279" s="28">
        <v>0.155</v>
      </c>
      <c r="AV279" s="28">
        <v>0.15509999999999999</v>
      </c>
      <c r="AW279" s="28">
        <v>0.15529999999999999</v>
      </c>
      <c r="AX279" s="28">
        <v>0.15540000000000001</v>
      </c>
    </row>
    <row r="280" spans="1:50">
      <c r="A280" s="28">
        <v>8</v>
      </c>
      <c r="O280" s="29">
        <v>0</v>
      </c>
      <c r="P280" s="29">
        <v>1.9599999999999999E-2</v>
      </c>
      <c r="Q280" s="29">
        <v>3.5900000000000001E-2</v>
      </c>
      <c r="R280" s="29">
        <v>4.9599999999999998E-2</v>
      </c>
      <c r="S280" s="30">
        <v>6.1199999999999997E-2</v>
      </c>
      <c r="T280" s="28">
        <v>7.1099999999999997E-2</v>
      </c>
      <c r="U280" s="28">
        <v>8.0399999999999999E-2</v>
      </c>
      <c r="V280" s="28">
        <v>8.7800000000000003E-2</v>
      </c>
      <c r="W280" s="28">
        <v>9.4100000000000003E-2</v>
      </c>
      <c r="X280" s="28">
        <v>9.9699999999999997E-2</v>
      </c>
      <c r="Y280" s="28">
        <v>0.1046</v>
      </c>
      <c r="Z280" s="28">
        <v>0.1089</v>
      </c>
      <c r="AA280" s="28">
        <v>0.1128</v>
      </c>
      <c r="AB280" s="28">
        <v>0.1162</v>
      </c>
      <c r="AC280" s="28">
        <v>0.1192</v>
      </c>
      <c r="AD280" s="28">
        <v>0.12189999999999999</v>
      </c>
      <c r="AE280" s="28">
        <v>0.12429999999999999</v>
      </c>
      <c r="AF280" s="28">
        <v>0.1265</v>
      </c>
      <c r="AG280" s="28">
        <v>0.12839999999999999</v>
      </c>
      <c r="AH280" s="28">
        <v>0.13009999999999999</v>
      </c>
      <c r="AI280" s="28">
        <v>0.13170000000000001</v>
      </c>
      <c r="AJ280" s="28">
        <v>0.1331</v>
      </c>
      <c r="AK280" s="28">
        <v>0.13439999999999999</v>
      </c>
      <c r="AL280" s="28">
        <v>0.1356</v>
      </c>
      <c r="AM280" s="28">
        <v>0.1366</v>
      </c>
      <c r="AN280" s="28">
        <v>0.1376</v>
      </c>
      <c r="AO280" s="28">
        <v>0.1384</v>
      </c>
      <c r="AP280" s="28">
        <v>0.13919999999999999</v>
      </c>
      <c r="AQ280" s="28">
        <v>0.13980000000000001</v>
      </c>
      <c r="AR280" s="28">
        <v>0.14050000000000001</v>
      </c>
      <c r="AS280" s="28">
        <v>0.14099999999999999</v>
      </c>
      <c r="AT280" s="28">
        <v>0.14149999999999999</v>
      </c>
      <c r="AU280" s="28">
        <v>0.14199999999999999</v>
      </c>
      <c r="AV280" s="28">
        <v>0.14230000000000001</v>
      </c>
      <c r="AW280" s="28">
        <v>0.14269999999999999</v>
      </c>
      <c r="AX280" s="28">
        <v>0.14299999999999999</v>
      </c>
    </row>
    <row r="281" spans="1:50">
      <c r="A281" s="28">
        <v>9</v>
      </c>
      <c r="Q281" s="29">
        <v>0</v>
      </c>
      <c r="R281" s="29">
        <v>1.6299999999999999E-2</v>
      </c>
      <c r="S281" s="30">
        <v>3.0300000000000001E-2</v>
      </c>
      <c r="T281" s="28">
        <v>4.2200000000000001E-2</v>
      </c>
      <c r="U281" s="28">
        <v>5.2999999999999999E-2</v>
      </c>
      <c r="V281" s="28">
        <v>6.1800000000000001E-2</v>
      </c>
      <c r="W281" s="28">
        <v>6.9599999999999995E-2</v>
      </c>
      <c r="X281" s="28">
        <v>7.6399999999999996E-2</v>
      </c>
      <c r="Y281" s="28">
        <v>8.2299999999999998E-2</v>
      </c>
      <c r="Z281" s="28">
        <v>8.7599999999999997E-2</v>
      </c>
      <c r="AA281" s="28">
        <v>9.2299999999999993E-2</v>
      </c>
      <c r="AB281" s="28">
        <v>9.6500000000000002E-2</v>
      </c>
      <c r="AC281" s="28">
        <v>0.1002</v>
      </c>
      <c r="AD281" s="28">
        <v>0.1036</v>
      </c>
      <c r="AE281" s="28">
        <v>0.1066</v>
      </c>
      <c r="AF281" s="28">
        <v>0.10929999999999999</v>
      </c>
      <c r="AG281" s="28">
        <v>0.1116</v>
      </c>
      <c r="AH281" s="28">
        <v>0.114</v>
      </c>
      <c r="AI281" s="28">
        <v>0.11600000000000001</v>
      </c>
      <c r="AJ281" s="28">
        <v>0.1179</v>
      </c>
      <c r="AK281" s="28">
        <v>0.1196</v>
      </c>
      <c r="AL281" s="28">
        <v>0.1211</v>
      </c>
      <c r="AM281" s="28">
        <v>0.1225</v>
      </c>
      <c r="AN281" s="28">
        <v>0.1237</v>
      </c>
      <c r="AO281" s="28">
        <v>0.1249</v>
      </c>
      <c r="AP281" s="28">
        <v>0.12590000000000001</v>
      </c>
      <c r="AQ281" s="28">
        <v>0.12690000000000001</v>
      </c>
      <c r="AR281" s="28">
        <v>0.1278</v>
      </c>
      <c r="AS281" s="28">
        <v>0.12859999999999999</v>
      </c>
      <c r="AT281" s="28">
        <v>0.1293</v>
      </c>
      <c r="AU281" s="28">
        <v>0.13</v>
      </c>
      <c r="AV281" s="28">
        <v>0.13059999999999999</v>
      </c>
      <c r="AW281" s="28">
        <v>0.13120000000000001</v>
      </c>
      <c r="AX281" s="28">
        <v>0.13170000000000001</v>
      </c>
    </row>
    <row r="282" spans="1:50">
      <c r="A282" s="28">
        <v>10</v>
      </c>
      <c r="S282" s="30">
        <v>0</v>
      </c>
      <c r="T282" s="28">
        <v>1.4E-2</v>
      </c>
      <c r="U282" s="28">
        <v>2.63E-2</v>
      </c>
      <c r="V282" s="28">
        <v>3.6799999999999999E-2</v>
      </c>
      <c r="W282" s="28">
        <v>4.5900000000000003E-2</v>
      </c>
      <c r="X282" s="28">
        <v>5.3900000000000003E-2</v>
      </c>
      <c r="Y282" s="28">
        <v>6.0999999999999999E-2</v>
      </c>
      <c r="Z282" s="28">
        <v>6.7199999999999996E-2</v>
      </c>
      <c r="AA282" s="28">
        <v>7.2800000000000004E-2</v>
      </c>
      <c r="AB282" s="28">
        <v>7.7799999999999994E-2</v>
      </c>
      <c r="AC282" s="28">
        <v>8.2199999999999995E-2</v>
      </c>
      <c r="AD282" s="28">
        <v>8.6199999999999999E-2</v>
      </c>
      <c r="AE282" s="28">
        <v>8.9899999999999994E-2</v>
      </c>
      <c r="AF282" s="28">
        <v>9.3100000000000002E-2</v>
      </c>
      <c r="AG282" s="28">
        <v>9.6100000000000005E-2</v>
      </c>
      <c r="AH282" s="28">
        <v>9.8799999999999999E-2</v>
      </c>
      <c r="AI282" s="28">
        <v>0.1013</v>
      </c>
      <c r="AJ282" s="28">
        <v>0.1036</v>
      </c>
      <c r="AK282" s="28">
        <v>0.1056</v>
      </c>
      <c r="AL282" s="28">
        <v>0.1075</v>
      </c>
      <c r="AM282" s="28">
        <v>0.10920000000000001</v>
      </c>
      <c r="AN282" s="28">
        <v>0.1108</v>
      </c>
      <c r="AO282" s="28">
        <v>0.1123</v>
      </c>
      <c r="AP282" s="28">
        <v>0.11360000000000001</v>
      </c>
      <c r="AQ282" s="28">
        <v>0.1149</v>
      </c>
      <c r="AR282" s="28">
        <v>0.11600000000000001</v>
      </c>
      <c r="AS282" s="28">
        <v>0.11700000000000001</v>
      </c>
      <c r="AT282" s="28">
        <v>0.11799999999999999</v>
      </c>
      <c r="AU282" s="28">
        <v>0.11890000000000001</v>
      </c>
      <c r="AV282" s="28">
        <v>0.1197</v>
      </c>
      <c r="AW282" s="28">
        <v>0.1205</v>
      </c>
      <c r="AX282" s="28">
        <v>0.1212</v>
      </c>
    </row>
    <row r="283" spans="1:50">
      <c r="A283" s="28">
        <v>11</v>
      </c>
      <c r="U283" s="28">
        <v>0</v>
      </c>
      <c r="V283" s="28">
        <v>1.2200000000000001E-2</v>
      </c>
      <c r="W283" s="28">
        <v>2.2800000000000001E-2</v>
      </c>
      <c r="X283" s="28">
        <v>3.2099999999999997E-2</v>
      </c>
      <c r="Y283" s="28">
        <v>4.0300000000000002E-2</v>
      </c>
      <c r="Z283" s="28">
        <v>4.7600000000000003E-2</v>
      </c>
      <c r="AA283" s="28">
        <v>5.3999999999999999E-2</v>
      </c>
      <c r="AB283" s="28">
        <v>5.9799999999999999E-2</v>
      </c>
      <c r="AC283" s="28">
        <v>6.5000000000000002E-2</v>
      </c>
      <c r="AD283" s="28">
        <v>6.9699999999999998E-2</v>
      </c>
      <c r="AE283" s="28">
        <v>7.3899999999999993E-2</v>
      </c>
      <c r="AF283" s="28">
        <v>7.7700000000000005E-2</v>
      </c>
      <c r="AG283" s="28">
        <v>8.1199999999999994E-2</v>
      </c>
      <c r="AH283" s="28">
        <v>8.4400000000000003E-2</v>
      </c>
      <c r="AI283" s="28">
        <v>8.7300000000000003E-2</v>
      </c>
      <c r="AJ283" s="28">
        <v>0.09</v>
      </c>
      <c r="AK283" s="28">
        <v>9.2399999999999996E-2</v>
      </c>
      <c r="AL283" s="28">
        <v>9.4700000000000006E-2</v>
      </c>
      <c r="AM283" s="28">
        <v>9.6699999999999994E-2</v>
      </c>
      <c r="AN283" s="28">
        <v>9.8599999999999993E-2</v>
      </c>
      <c r="AO283" s="28">
        <v>0.1004</v>
      </c>
      <c r="AP283" s="28">
        <v>0.10199999999999999</v>
      </c>
      <c r="AQ283" s="28">
        <v>0.10349999999999999</v>
      </c>
      <c r="AR283" s="28">
        <v>0.10489999999999999</v>
      </c>
      <c r="AS283" s="28">
        <v>0.1062</v>
      </c>
      <c r="AT283" s="28">
        <v>0.10730000000000001</v>
      </c>
      <c r="AU283" s="28">
        <v>0.1085</v>
      </c>
      <c r="AV283" s="28">
        <v>0.1095</v>
      </c>
      <c r="AW283" s="28">
        <v>0.1105</v>
      </c>
      <c r="AX283" s="28">
        <v>0.1113</v>
      </c>
    </row>
    <row r="284" spans="1:50">
      <c r="A284" s="28">
        <v>12</v>
      </c>
      <c r="W284" s="28">
        <v>0</v>
      </c>
      <c r="X284" s="28">
        <v>1.0699999999999999E-2</v>
      </c>
      <c r="Y284" s="28">
        <v>0.02</v>
      </c>
      <c r="Z284" s="28">
        <v>2.8400000000000002E-2</v>
      </c>
      <c r="AA284" s="28">
        <v>3.5799999999999998E-2</v>
      </c>
      <c r="AB284" s="28">
        <v>4.24E-2</v>
      </c>
      <c r="AC284" s="28">
        <v>4.8300000000000003E-2</v>
      </c>
      <c r="AD284" s="28">
        <v>5.3699999999999998E-2</v>
      </c>
      <c r="AE284" s="28">
        <v>5.8500000000000003E-2</v>
      </c>
      <c r="AF284" s="28">
        <v>6.2899999999999998E-2</v>
      </c>
      <c r="AG284" s="28">
        <v>6.6900000000000001E-2</v>
      </c>
      <c r="AH284" s="28">
        <v>7.0599999999999996E-2</v>
      </c>
      <c r="AI284" s="28">
        <v>7.3899999999999993E-2</v>
      </c>
      <c r="AJ284" s="28">
        <v>7.6999999999999999E-2</v>
      </c>
      <c r="AK284" s="28">
        <v>7.9799999999999996E-2</v>
      </c>
      <c r="AL284" s="28">
        <v>8.2400000000000001E-2</v>
      </c>
      <c r="AM284" s="28">
        <v>8.48E-2</v>
      </c>
      <c r="AN284" s="28">
        <v>8.6999999999999994E-2</v>
      </c>
      <c r="AO284" s="28">
        <v>8.9099999999999999E-2</v>
      </c>
      <c r="AP284" s="28">
        <v>9.0899999999999995E-2</v>
      </c>
      <c r="AQ284" s="28">
        <v>9.2700000000000005E-2</v>
      </c>
      <c r="AR284" s="28">
        <v>9.4299999999999995E-2</v>
      </c>
      <c r="AS284" s="28">
        <v>9.5899999999999999E-2</v>
      </c>
      <c r="AT284" s="28">
        <v>9.7199999999999995E-2</v>
      </c>
      <c r="AU284" s="28">
        <v>9.8599999999999993E-2</v>
      </c>
      <c r="AV284" s="28">
        <v>9.98E-2</v>
      </c>
      <c r="AW284" s="28">
        <v>0.10100000000000001</v>
      </c>
      <c r="AX284" s="28">
        <v>0.10199999999999999</v>
      </c>
    </row>
    <row r="285" spans="1:50">
      <c r="A285" s="28">
        <v>13</v>
      </c>
      <c r="Y285" s="28">
        <v>0</v>
      </c>
      <c r="Z285" s="28">
        <v>9.4000000000000004E-3</v>
      </c>
      <c r="AA285" s="28">
        <v>1.78E-2</v>
      </c>
      <c r="AB285" s="28">
        <v>2.53E-2</v>
      </c>
      <c r="AC285" s="28">
        <v>3.2000000000000001E-2</v>
      </c>
      <c r="AD285" s="28">
        <v>3.8100000000000002E-2</v>
      </c>
      <c r="AE285" s="28">
        <v>4.3499999999999997E-2</v>
      </c>
      <c r="AF285" s="28">
        <v>4.8500000000000001E-2</v>
      </c>
      <c r="AG285" s="28">
        <v>5.2999999999999999E-2</v>
      </c>
      <c r="AH285" s="28">
        <v>5.7200000000000001E-2</v>
      </c>
      <c r="AI285" s="28">
        <v>6.0999999999999999E-2</v>
      </c>
      <c r="AJ285" s="28">
        <v>6.4500000000000002E-2</v>
      </c>
      <c r="AK285" s="28">
        <v>6.7699999999999996E-2</v>
      </c>
      <c r="AL285" s="28">
        <v>7.0599999999999996E-2</v>
      </c>
      <c r="AM285" s="28">
        <v>7.3300000000000004E-2</v>
      </c>
      <c r="AN285" s="28">
        <v>7.5899999999999995E-2</v>
      </c>
      <c r="AO285" s="28">
        <v>7.8200000000000006E-2</v>
      </c>
      <c r="AP285" s="28">
        <v>8.0399999999999999E-2</v>
      </c>
      <c r="AQ285" s="28">
        <v>8.2400000000000001E-2</v>
      </c>
      <c r="AR285" s="28">
        <v>8.4199999999999997E-2</v>
      </c>
      <c r="AS285" s="28">
        <v>8.5999999999999993E-2</v>
      </c>
      <c r="AT285" s="28">
        <v>8.7599999999999997E-2</v>
      </c>
      <c r="AU285" s="28">
        <v>8.9200000000000002E-2</v>
      </c>
      <c r="AV285" s="28">
        <v>9.06E-2</v>
      </c>
      <c r="AW285" s="28">
        <v>9.1899999999999996E-2</v>
      </c>
      <c r="AX285" s="28">
        <v>9.3200000000000005E-2</v>
      </c>
    </row>
    <row r="286" spans="1:50">
      <c r="A286" s="28">
        <v>14</v>
      </c>
      <c r="AA286" s="28">
        <v>0</v>
      </c>
      <c r="AB286" s="28">
        <v>8.3999999999999995E-3</v>
      </c>
      <c r="AC286" s="28">
        <v>1.5900000000000001E-2</v>
      </c>
      <c r="AD286" s="28">
        <v>2.2700000000000001E-2</v>
      </c>
      <c r="AE286" s="28">
        <v>2.8899999999999999E-2</v>
      </c>
      <c r="AF286" s="28">
        <v>3.44E-2</v>
      </c>
      <c r="AG286" s="28">
        <v>3.95E-2</v>
      </c>
      <c r="AH286" s="28">
        <v>4.41E-2</v>
      </c>
      <c r="AI286" s="28">
        <v>4.8399999999999999E-2</v>
      </c>
      <c r="AJ286" s="28">
        <v>5.2299999999999999E-2</v>
      </c>
      <c r="AK286" s="28">
        <v>5.5899999999999998E-2</v>
      </c>
      <c r="AL286" s="28">
        <v>5.9200000000000003E-2</v>
      </c>
      <c r="AM286" s="28">
        <v>6.2199999999999998E-2</v>
      </c>
      <c r="AN286" s="28">
        <v>6.5100000000000005E-2</v>
      </c>
      <c r="AO286" s="28">
        <v>6.7699999999999996E-2</v>
      </c>
      <c r="AP286" s="28">
        <v>7.0099999999999996E-2</v>
      </c>
      <c r="AQ286" s="28">
        <v>7.2400000000000006E-2</v>
      </c>
      <c r="AR286" s="28">
        <v>7.4499999999999997E-2</v>
      </c>
      <c r="AS286" s="28">
        <v>7.6499999999999999E-2</v>
      </c>
      <c r="AT286" s="28">
        <v>7.8299999999999995E-2</v>
      </c>
      <c r="AU286" s="28">
        <v>8.0100000000000005E-2</v>
      </c>
      <c r="AV286" s="28">
        <v>8.1699999999999995E-2</v>
      </c>
      <c r="AW286" s="28">
        <v>8.3199999999999996E-2</v>
      </c>
      <c r="AX286" s="28">
        <v>8.4599999999999995E-2</v>
      </c>
    </row>
    <row r="287" spans="1:50">
      <c r="A287" s="28">
        <v>15</v>
      </c>
      <c r="AC287" s="28">
        <v>0</v>
      </c>
      <c r="AD287" s="28">
        <v>7.6E-3</v>
      </c>
      <c r="AE287" s="28">
        <v>1.44E-2</v>
      </c>
      <c r="AF287" s="28">
        <v>2.06E-2</v>
      </c>
      <c r="AG287" s="28">
        <v>2.6200000000000001E-2</v>
      </c>
      <c r="AH287" s="28">
        <v>3.1399999999999997E-2</v>
      </c>
      <c r="AI287" s="28">
        <v>3.61E-2</v>
      </c>
      <c r="AJ287" s="28">
        <v>4.0399999999999998E-2</v>
      </c>
      <c r="AK287" s="28">
        <v>4.4400000000000002E-2</v>
      </c>
      <c r="AL287" s="28">
        <v>4.8099999999999997E-2</v>
      </c>
      <c r="AM287" s="28">
        <v>5.1499999999999997E-2</v>
      </c>
      <c r="AN287" s="28">
        <v>5.4600000000000003E-2</v>
      </c>
      <c r="AO287" s="28">
        <v>5.7500000000000002E-2</v>
      </c>
      <c r="AP287" s="28">
        <v>6.0199999999999997E-2</v>
      </c>
      <c r="AQ287" s="28">
        <v>6.2799999999999995E-2</v>
      </c>
      <c r="AR287" s="28">
        <v>6.5100000000000005E-2</v>
      </c>
      <c r="AS287" s="28">
        <v>6.7299999999999999E-2</v>
      </c>
      <c r="AT287" s="28">
        <v>6.9400000000000003E-2</v>
      </c>
      <c r="AU287" s="28">
        <v>7.1300000000000002E-2</v>
      </c>
      <c r="AV287" s="28">
        <v>7.3099999999999998E-2</v>
      </c>
      <c r="AW287" s="28">
        <v>7.4800000000000005E-2</v>
      </c>
      <c r="AX287" s="28">
        <v>7.6399999999999996E-2</v>
      </c>
    </row>
    <row r="288" spans="1:50">
      <c r="A288" s="28">
        <v>16</v>
      </c>
      <c r="AE288" s="28">
        <v>0</v>
      </c>
      <c r="AF288" s="28">
        <v>6.7999999999999996E-3</v>
      </c>
      <c r="AG288" s="28">
        <v>1.3100000000000001E-2</v>
      </c>
      <c r="AH288" s="28">
        <v>1.8700000000000001E-2</v>
      </c>
      <c r="AI288" s="28">
        <v>2.3900000000000001E-2</v>
      </c>
      <c r="AJ288" s="28">
        <v>2.87E-2</v>
      </c>
      <c r="AK288" s="28">
        <v>3.3099999999999997E-2</v>
      </c>
      <c r="AL288" s="28">
        <v>3.7199999999999997E-2</v>
      </c>
      <c r="AM288" s="28">
        <v>4.0899999999999999E-2</v>
      </c>
      <c r="AN288" s="28">
        <v>4.4400000000000002E-2</v>
      </c>
      <c r="AO288" s="28">
        <v>4.7600000000000003E-2</v>
      </c>
      <c r="AP288" s="28">
        <v>5.0599999999999999E-2</v>
      </c>
      <c r="AQ288" s="28">
        <v>5.3400000000000003E-2</v>
      </c>
      <c r="AR288" s="28">
        <v>5.6000000000000001E-2</v>
      </c>
      <c r="AS288" s="28">
        <v>5.8400000000000001E-2</v>
      </c>
      <c r="AT288" s="28">
        <v>6.0699999999999997E-2</v>
      </c>
      <c r="AU288" s="28">
        <v>6.2799999999999995E-2</v>
      </c>
      <c r="AV288" s="28">
        <v>6.4799999999999996E-2</v>
      </c>
      <c r="AW288" s="28">
        <v>6.6699999999999995E-2</v>
      </c>
      <c r="AX288" s="28">
        <v>6.8500000000000005E-2</v>
      </c>
    </row>
    <row r="289" spans="1:50">
      <c r="A289" s="28">
        <v>17</v>
      </c>
      <c r="AG289" s="28">
        <v>0</v>
      </c>
      <c r="AH289" s="28">
        <v>6.1999999999999998E-3</v>
      </c>
      <c r="AI289" s="28">
        <v>1.1900000000000001E-2</v>
      </c>
      <c r="AJ289" s="28">
        <v>1.72E-2</v>
      </c>
      <c r="AK289" s="28">
        <v>2.1999999999999999E-2</v>
      </c>
      <c r="AL289" s="28">
        <v>2.64E-2</v>
      </c>
      <c r="AM289" s="28">
        <v>3.0499999999999999E-2</v>
      </c>
      <c r="AN289" s="28">
        <v>3.4299999999999997E-2</v>
      </c>
      <c r="AO289" s="28">
        <v>3.7900000000000003E-2</v>
      </c>
      <c r="AP289" s="28">
        <v>4.1099999999999998E-2</v>
      </c>
      <c r="AQ289" s="28">
        <v>4.4200000000000003E-2</v>
      </c>
      <c r="AR289" s="28">
        <v>4.7100000000000003E-2</v>
      </c>
      <c r="AS289" s="28">
        <v>4.9700000000000001E-2</v>
      </c>
      <c r="AT289" s="28">
        <v>5.2200000000000003E-2</v>
      </c>
      <c r="AU289" s="28">
        <v>5.4600000000000003E-2</v>
      </c>
      <c r="AV289" s="28">
        <v>5.6800000000000003E-2</v>
      </c>
      <c r="AW289" s="28">
        <v>5.8799999999999998E-2</v>
      </c>
      <c r="AX289" s="28">
        <v>6.08E-2</v>
      </c>
    </row>
    <row r="290" spans="1:50">
      <c r="A290" s="28">
        <v>18</v>
      </c>
      <c r="AI290" s="28">
        <v>0</v>
      </c>
      <c r="AJ290" s="28">
        <v>5.7000000000000002E-3</v>
      </c>
      <c r="AK290" s="28">
        <v>1.0999999999999999E-2</v>
      </c>
      <c r="AL290" s="28">
        <v>1.5800000000000002E-2</v>
      </c>
      <c r="AM290" s="28">
        <v>2.0299999999999999E-2</v>
      </c>
      <c r="AN290" s="28">
        <v>2.4400000000000002E-2</v>
      </c>
      <c r="AO290" s="28">
        <v>2.8299999999999999E-2</v>
      </c>
      <c r="AP290" s="28">
        <v>3.1800000000000002E-2</v>
      </c>
      <c r="AQ290" s="28">
        <v>3.5200000000000002E-2</v>
      </c>
      <c r="AR290" s="28">
        <v>3.8300000000000001E-2</v>
      </c>
      <c r="AS290" s="28">
        <v>4.1200000000000001E-2</v>
      </c>
      <c r="AT290" s="28">
        <v>4.3900000000000002E-2</v>
      </c>
      <c r="AU290" s="28">
        <v>4.65E-2</v>
      </c>
      <c r="AV290" s="28">
        <v>4.8899999999999999E-2</v>
      </c>
      <c r="AW290" s="28">
        <v>5.11E-2</v>
      </c>
      <c r="AX290" s="28">
        <v>5.3199999999999997E-2</v>
      </c>
    </row>
    <row r="291" spans="1:50">
      <c r="A291" s="28">
        <v>19</v>
      </c>
      <c r="AK291" s="28">
        <v>0</v>
      </c>
      <c r="AL291" s="28">
        <v>5.3E-3</v>
      </c>
      <c r="AM291" s="28">
        <v>1.01E-2</v>
      </c>
      <c r="AN291" s="28">
        <v>1.46E-2</v>
      </c>
      <c r="AO291" s="28">
        <v>1.8800000000000001E-2</v>
      </c>
      <c r="AP291" s="28">
        <v>2.2700000000000001E-2</v>
      </c>
      <c r="AQ291" s="28">
        <v>2.63E-2</v>
      </c>
      <c r="AR291" s="28">
        <v>2.9600000000000001E-2</v>
      </c>
      <c r="AS291" s="28">
        <v>3.2800000000000003E-2</v>
      </c>
      <c r="AT291" s="28">
        <v>3.5700000000000003E-2</v>
      </c>
      <c r="AU291" s="28">
        <v>3.85E-2</v>
      </c>
      <c r="AV291" s="28">
        <v>4.1099999999999998E-2</v>
      </c>
      <c r="AW291" s="28">
        <v>4.36E-2</v>
      </c>
      <c r="AX291" s="28">
        <v>4.5900000000000003E-2</v>
      </c>
    </row>
    <row r="292" spans="1:50">
      <c r="A292" s="28">
        <v>20</v>
      </c>
      <c r="AM292" s="28">
        <v>0</v>
      </c>
      <c r="AN292" s="28">
        <v>4.8999999999999998E-3</v>
      </c>
      <c r="AO292" s="28">
        <v>9.4000000000000004E-3</v>
      </c>
      <c r="AP292" s="28">
        <v>1.3599999999999999E-2</v>
      </c>
      <c r="AQ292" s="28">
        <v>1.7500000000000002E-2</v>
      </c>
      <c r="AR292" s="28">
        <v>2.1100000000000001E-2</v>
      </c>
      <c r="AS292" s="28">
        <v>2.4500000000000001E-2</v>
      </c>
      <c r="AT292" s="28">
        <v>2.7699999999999999E-2</v>
      </c>
      <c r="AU292" s="28">
        <v>3.0700000000000002E-2</v>
      </c>
      <c r="AV292" s="28">
        <v>3.3500000000000002E-2</v>
      </c>
      <c r="AW292" s="28">
        <v>3.61E-2</v>
      </c>
      <c r="AX292" s="28">
        <v>3.8600000000000002E-2</v>
      </c>
    </row>
    <row r="293" spans="1:50">
      <c r="A293" s="28">
        <v>21</v>
      </c>
      <c r="AO293" s="28">
        <v>0</v>
      </c>
      <c r="AP293" s="28">
        <v>4.4999999999999997E-3</v>
      </c>
      <c r="AQ293" s="28">
        <v>8.6999999999999994E-3</v>
      </c>
      <c r="AR293" s="28">
        <v>1.26E-2</v>
      </c>
      <c r="AS293" s="28">
        <v>1.6299999999999999E-2</v>
      </c>
      <c r="AT293" s="28">
        <v>1.9699999999999999E-2</v>
      </c>
      <c r="AU293" s="28">
        <v>2.29E-2</v>
      </c>
      <c r="AV293" s="28">
        <v>2.5899999999999999E-2</v>
      </c>
      <c r="AW293" s="28">
        <v>2.8799999999999999E-2</v>
      </c>
      <c r="AX293" s="28">
        <v>3.1399999999999997E-2</v>
      </c>
    </row>
    <row r="294" spans="1:50">
      <c r="A294" s="28">
        <v>22</v>
      </c>
      <c r="AQ294" s="28">
        <v>0</v>
      </c>
      <c r="AR294" s="28">
        <v>4.1999999999999997E-3</v>
      </c>
      <c r="AS294" s="28">
        <v>8.0999999999999996E-3</v>
      </c>
      <c r="AT294" s="28">
        <v>1.18E-2</v>
      </c>
      <c r="AU294" s="28">
        <v>1.5299999999999999E-2</v>
      </c>
      <c r="AV294" s="28">
        <v>1.8499999999999999E-2</v>
      </c>
      <c r="AW294" s="28">
        <v>2.1499999999999998E-2</v>
      </c>
      <c r="AX294" s="28">
        <v>2.4400000000000002E-2</v>
      </c>
    </row>
    <row r="295" spans="1:50">
      <c r="A295" s="28">
        <v>23</v>
      </c>
      <c r="AS295" s="28">
        <v>0</v>
      </c>
      <c r="AT295" s="28">
        <v>3.8999999999999998E-3</v>
      </c>
      <c r="AU295" s="28">
        <v>7.6E-3</v>
      </c>
      <c r="AV295" s="28">
        <v>1.11E-2</v>
      </c>
      <c r="AW295" s="28">
        <v>1.43E-2</v>
      </c>
      <c r="AX295" s="28">
        <v>1.7399999999999999E-2</v>
      </c>
    </row>
    <row r="296" spans="1:50">
      <c r="A296" s="28">
        <v>24</v>
      </c>
      <c r="AU296" s="28">
        <v>0</v>
      </c>
      <c r="AV296" s="28">
        <v>3.7000000000000002E-3</v>
      </c>
      <c r="AW296" s="28">
        <v>7.1000000000000004E-3</v>
      </c>
      <c r="AX296" s="28">
        <v>1.04E-2</v>
      </c>
    </row>
    <row r="297" spans="1:50">
      <c r="A297" s="28">
        <v>25</v>
      </c>
      <c r="AW297" s="28">
        <v>0</v>
      </c>
      <c r="AX297" s="28">
        <v>3.5000000000000001E-3</v>
      </c>
    </row>
    <row r="300" spans="1:50">
      <c r="A300" s="28" t="s">
        <v>227</v>
      </c>
    </row>
    <row r="301" spans="1:50">
      <c r="A301" s="28" t="s">
        <v>127</v>
      </c>
      <c r="B301" s="28" t="s">
        <v>228</v>
      </c>
    </row>
    <row r="302" spans="1:50">
      <c r="B302" s="28">
        <v>0.01</v>
      </c>
      <c r="C302" s="28">
        <v>0.02</v>
      </c>
      <c r="D302" s="28">
        <v>0.05</v>
      </c>
      <c r="E302" s="28">
        <v>0.1</v>
      </c>
      <c r="F302" s="28">
        <v>0.5</v>
      </c>
    </row>
    <row r="303" spans="1:50">
      <c r="C303" s="28"/>
      <c r="D303" s="28"/>
      <c r="E303" s="28"/>
      <c r="F303" s="28"/>
    </row>
    <row r="304" spans="1:50">
      <c r="A304" s="28">
        <v>3</v>
      </c>
      <c r="B304" s="28">
        <v>0.753</v>
      </c>
      <c r="C304" s="28">
        <v>0.75600000000000001</v>
      </c>
      <c r="D304" s="28">
        <v>0.76700000000000002</v>
      </c>
      <c r="E304" s="28">
        <v>0.78900000000000003</v>
      </c>
      <c r="F304" s="28">
        <v>0.95899999999999996</v>
      </c>
    </row>
    <row r="305" spans="1:6">
      <c r="A305" s="28">
        <v>4</v>
      </c>
      <c r="B305" s="28">
        <v>0.68700000000000006</v>
      </c>
      <c r="C305" s="28">
        <v>0.70699999999999996</v>
      </c>
      <c r="D305" s="28">
        <v>0.748</v>
      </c>
      <c r="E305" s="28">
        <v>0.79200000000000004</v>
      </c>
      <c r="F305" s="28">
        <v>0.93500000000000005</v>
      </c>
    </row>
    <row r="306" spans="1:6">
      <c r="A306" s="28">
        <v>5</v>
      </c>
      <c r="B306" s="28">
        <v>0.68600000000000005</v>
      </c>
      <c r="C306" s="28">
        <v>0.71499999999999997</v>
      </c>
      <c r="D306" s="28">
        <v>0.76200000000000001</v>
      </c>
      <c r="E306" s="28">
        <v>0.80600000000000005</v>
      </c>
      <c r="F306" s="28">
        <v>0.92700000000000005</v>
      </c>
    </row>
    <row r="307" spans="1:6">
      <c r="A307" s="28">
        <v>6</v>
      </c>
      <c r="B307" s="28">
        <v>0.71299999999999997</v>
      </c>
      <c r="C307" s="28">
        <v>0.74299999999999999</v>
      </c>
      <c r="D307" s="28">
        <v>0.78800000000000003</v>
      </c>
      <c r="E307" s="28">
        <v>0.82599999999999996</v>
      </c>
      <c r="F307" s="28">
        <v>0.92700000000000005</v>
      </c>
    </row>
    <row r="308" spans="1:6">
      <c r="A308" s="28">
        <v>7</v>
      </c>
      <c r="B308" s="28">
        <v>0.73</v>
      </c>
      <c r="C308" s="28">
        <v>0.76</v>
      </c>
      <c r="D308" s="28">
        <v>0.80300000000000005</v>
      </c>
      <c r="E308" s="28">
        <v>0.83799999999999997</v>
      </c>
      <c r="F308" s="28">
        <v>0.92800000000000005</v>
      </c>
    </row>
    <row r="309" spans="1:6">
      <c r="A309" s="28">
        <v>8</v>
      </c>
      <c r="B309" s="28">
        <v>0.749</v>
      </c>
      <c r="C309" s="28">
        <v>0.77800000000000002</v>
      </c>
      <c r="D309" s="28">
        <v>0.81799999999999995</v>
      </c>
      <c r="E309" s="28">
        <v>0.85099999999999998</v>
      </c>
      <c r="F309" s="28">
        <v>0.93200000000000005</v>
      </c>
    </row>
    <row r="310" spans="1:6">
      <c r="A310" s="28">
        <v>9</v>
      </c>
      <c r="B310" s="28">
        <v>0.76400000000000001</v>
      </c>
      <c r="C310" s="28">
        <v>0.79100000000000004</v>
      </c>
      <c r="D310" s="28">
        <v>0.82899999999999996</v>
      </c>
      <c r="E310" s="28">
        <v>0.85899999999999999</v>
      </c>
      <c r="F310" s="28">
        <v>0.93500000000000005</v>
      </c>
    </row>
    <row r="311" spans="1:6">
      <c r="A311" s="28">
        <v>10</v>
      </c>
      <c r="B311" s="28">
        <v>0.78100000000000003</v>
      </c>
      <c r="C311" s="28">
        <v>0.80600000000000005</v>
      </c>
      <c r="D311" s="28">
        <v>0.84199999999999997</v>
      </c>
      <c r="E311" s="28">
        <v>0.86899999999999999</v>
      </c>
      <c r="F311" s="28">
        <v>0.93799999999999994</v>
      </c>
    </row>
    <row r="312" spans="1:6">
      <c r="A312" s="28">
        <v>11</v>
      </c>
      <c r="B312" s="28">
        <v>0.79200000000000004</v>
      </c>
      <c r="C312" s="28">
        <v>0.81699999999999995</v>
      </c>
      <c r="D312" s="28">
        <v>0.85</v>
      </c>
      <c r="E312" s="28">
        <v>0.876</v>
      </c>
      <c r="F312" s="28">
        <v>0.94</v>
      </c>
    </row>
    <row r="313" spans="1:6">
      <c r="A313" s="28">
        <v>12</v>
      </c>
      <c r="B313" s="28">
        <v>0.80500000000000005</v>
      </c>
      <c r="C313" s="28">
        <v>0.82799999999999996</v>
      </c>
      <c r="D313" s="28">
        <v>0.85899999999999999</v>
      </c>
      <c r="E313" s="28">
        <v>0.88300000000000001</v>
      </c>
      <c r="F313" s="28">
        <v>0.94299999999999995</v>
      </c>
    </row>
    <row r="314" spans="1:6">
      <c r="A314" s="28">
        <v>13</v>
      </c>
      <c r="B314" s="28">
        <v>0.81399999999999995</v>
      </c>
      <c r="C314" s="28">
        <v>0.83699999999999997</v>
      </c>
      <c r="D314" s="28">
        <v>0.86599999999999999</v>
      </c>
      <c r="E314" s="28">
        <v>0.88900000000000001</v>
      </c>
      <c r="F314" s="28">
        <v>0.94499999999999995</v>
      </c>
    </row>
    <row r="315" spans="1:6">
      <c r="A315" s="28">
        <v>14</v>
      </c>
      <c r="B315" s="28">
        <v>0.82499999999999996</v>
      </c>
      <c r="C315" s="28">
        <v>0.84599999999999997</v>
      </c>
      <c r="D315" s="28">
        <v>0.874</v>
      </c>
      <c r="E315" s="28">
        <v>0.89500000000000002</v>
      </c>
      <c r="F315" s="28">
        <v>0.94699999999999995</v>
      </c>
    </row>
    <row r="316" spans="1:6">
      <c r="A316" s="28">
        <v>15</v>
      </c>
      <c r="B316" s="28">
        <v>0.83499999999999996</v>
      </c>
      <c r="C316" s="28">
        <v>0.85499999999999998</v>
      </c>
      <c r="D316" s="28">
        <v>0.88100000000000001</v>
      </c>
      <c r="E316" s="28">
        <v>0.90100000000000002</v>
      </c>
      <c r="F316" s="28">
        <v>0.95</v>
      </c>
    </row>
    <row r="317" spans="1:6">
      <c r="A317" s="28">
        <v>16</v>
      </c>
      <c r="B317" s="28">
        <v>0.84399999999999997</v>
      </c>
      <c r="C317" s="28">
        <v>0.86299999999999999</v>
      </c>
      <c r="D317" s="28">
        <v>0.88700000000000001</v>
      </c>
      <c r="E317" s="28">
        <v>0.90600000000000003</v>
      </c>
      <c r="F317" s="28">
        <v>0.95199999999999996</v>
      </c>
    </row>
    <row r="318" spans="1:6">
      <c r="A318" s="28">
        <v>17</v>
      </c>
      <c r="B318" s="28">
        <v>0.85099999999999998</v>
      </c>
      <c r="C318" s="28">
        <v>0.86899999999999999</v>
      </c>
      <c r="D318" s="28">
        <v>0.89200000000000002</v>
      </c>
      <c r="E318" s="28">
        <v>0.91</v>
      </c>
      <c r="F318" s="28">
        <v>0.95399999999999996</v>
      </c>
    </row>
    <row r="319" spans="1:6">
      <c r="A319" s="28">
        <v>18</v>
      </c>
      <c r="B319" s="28">
        <v>0.85799999999999998</v>
      </c>
      <c r="C319" s="28">
        <v>0.874</v>
      </c>
      <c r="D319" s="28">
        <v>0.89700000000000002</v>
      </c>
      <c r="E319" s="28">
        <v>0.91400000000000003</v>
      </c>
      <c r="F319" s="28">
        <v>0.95599999999999996</v>
      </c>
    </row>
    <row r="320" spans="1:6">
      <c r="A320" s="28">
        <v>19</v>
      </c>
      <c r="B320" s="28">
        <v>0.86299999999999999</v>
      </c>
      <c r="C320" s="28">
        <v>0.879</v>
      </c>
      <c r="D320" s="28">
        <v>0.90100000000000002</v>
      </c>
      <c r="E320" s="28">
        <v>0.91700000000000004</v>
      </c>
      <c r="F320" s="28">
        <v>0.95699999999999996</v>
      </c>
    </row>
    <row r="321" spans="1:6">
      <c r="A321" s="28">
        <v>20</v>
      </c>
      <c r="B321" s="28">
        <v>0.86799999999999999</v>
      </c>
      <c r="C321" s="28">
        <v>0.88400000000000001</v>
      </c>
      <c r="D321" s="28">
        <v>0.90500000000000003</v>
      </c>
      <c r="E321" s="28">
        <v>0.92</v>
      </c>
      <c r="F321" s="28">
        <v>0.95899999999999996</v>
      </c>
    </row>
    <row r="322" spans="1:6">
      <c r="A322" s="28">
        <v>21</v>
      </c>
      <c r="B322" s="28">
        <v>0.873</v>
      </c>
      <c r="C322" s="28">
        <v>0.88800000000000001</v>
      </c>
      <c r="D322" s="28">
        <v>0.90800000000000003</v>
      </c>
      <c r="E322" s="28">
        <v>0.92300000000000004</v>
      </c>
      <c r="F322" s="28">
        <v>0.96</v>
      </c>
    </row>
    <row r="323" spans="1:6">
      <c r="A323" s="28">
        <v>22</v>
      </c>
      <c r="B323" s="28">
        <v>0.878</v>
      </c>
      <c r="C323" s="28">
        <v>0.89200000000000002</v>
      </c>
      <c r="D323" s="28">
        <v>0.91100000000000003</v>
      </c>
      <c r="E323" s="28">
        <v>0.92600000000000005</v>
      </c>
      <c r="F323" s="28">
        <v>0.96099999999999997</v>
      </c>
    </row>
    <row r="324" spans="1:6">
      <c r="A324" s="28">
        <v>23</v>
      </c>
      <c r="B324" s="28">
        <v>0.88100000000000001</v>
      </c>
      <c r="C324" s="28">
        <v>0.89500000000000002</v>
      </c>
      <c r="D324" s="28">
        <v>0.91400000000000003</v>
      </c>
      <c r="E324" s="28">
        <v>0.92800000000000005</v>
      </c>
      <c r="F324" s="28">
        <v>0.96199999999999997</v>
      </c>
    </row>
    <row r="325" spans="1:6">
      <c r="A325" s="28">
        <v>24</v>
      </c>
      <c r="B325" s="28">
        <v>0.88400000000000001</v>
      </c>
      <c r="C325" s="28">
        <v>0.89800000000000002</v>
      </c>
      <c r="D325" s="28">
        <v>0.91600000000000004</v>
      </c>
      <c r="E325" s="28">
        <v>0.93</v>
      </c>
      <c r="F325" s="28">
        <v>0.96299999999999997</v>
      </c>
    </row>
    <row r="326" spans="1:6">
      <c r="A326" s="28">
        <v>25</v>
      </c>
      <c r="B326" s="28">
        <v>0.88600000000000001</v>
      </c>
      <c r="C326" s="28">
        <v>0.90100000000000002</v>
      </c>
      <c r="D326" s="28">
        <v>0.91800000000000004</v>
      </c>
      <c r="E326" s="28">
        <v>0.93100000000000005</v>
      </c>
      <c r="F326" s="28">
        <v>0.96399999999999997</v>
      </c>
    </row>
    <row r="327" spans="1:6">
      <c r="A327" s="28">
        <v>26</v>
      </c>
      <c r="B327" s="28">
        <v>0.89100000000000001</v>
      </c>
      <c r="C327" s="28">
        <v>0.90400000000000003</v>
      </c>
      <c r="D327" s="28">
        <v>0.92</v>
      </c>
      <c r="E327" s="28">
        <v>0.93300000000000005</v>
      </c>
      <c r="F327" s="28">
        <v>0.96499999999999997</v>
      </c>
    </row>
    <row r="328" spans="1:6">
      <c r="A328" s="28">
        <v>27</v>
      </c>
      <c r="B328" s="28">
        <v>0.89400000000000002</v>
      </c>
      <c r="C328" s="28">
        <v>0.90600000000000003</v>
      </c>
      <c r="D328" s="28">
        <v>0.92300000000000004</v>
      </c>
      <c r="E328" s="28">
        <v>0.93500000000000005</v>
      </c>
      <c r="F328" s="28">
        <v>0.96499999999999997</v>
      </c>
    </row>
    <row r="329" spans="1:6">
      <c r="A329" s="28">
        <v>28</v>
      </c>
      <c r="B329" s="28">
        <v>0.89600000000000002</v>
      </c>
      <c r="C329" s="28">
        <v>0.90800000000000003</v>
      </c>
      <c r="D329" s="28">
        <v>0.92400000000000004</v>
      </c>
      <c r="E329" s="28">
        <v>0.93600000000000005</v>
      </c>
      <c r="F329" s="28">
        <v>0.96599999999999997</v>
      </c>
    </row>
    <row r="330" spans="1:6">
      <c r="A330" s="28">
        <v>29</v>
      </c>
      <c r="B330" s="28">
        <v>0.89800000000000002</v>
      </c>
      <c r="C330" s="28">
        <v>0.91</v>
      </c>
      <c r="D330" s="28">
        <v>0.92600000000000005</v>
      </c>
      <c r="E330" s="28">
        <v>0.93700000000000006</v>
      </c>
      <c r="F330" s="28">
        <v>0.96599999999999997</v>
      </c>
    </row>
    <row r="331" spans="1:6">
      <c r="A331" s="28">
        <v>30</v>
      </c>
      <c r="B331" s="28">
        <v>0.9</v>
      </c>
      <c r="C331" s="28">
        <v>0.91200000000000003</v>
      </c>
      <c r="D331" s="28">
        <v>0.92700000000000005</v>
      </c>
      <c r="E331" s="28">
        <v>0.93899999999999995</v>
      </c>
      <c r="F331" s="28">
        <v>0.96699999999999997</v>
      </c>
    </row>
    <row r="332" spans="1:6">
      <c r="A332" s="28">
        <v>31</v>
      </c>
      <c r="B332" s="28">
        <v>0.90200000000000002</v>
      </c>
      <c r="C332" s="28">
        <v>0.91400000000000003</v>
      </c>
      <c r="D332" s="28">
        <v>0.92900000000000005</v>
      </c>
      <c r="E332" s="28">
        <v>0.94</v>
      </c>
      <c r="F332" s="28">
        <v>0.96699999999999997</v>
      </c>
    </row>
    <row r="333" spans="1:6">
      <c r="A333" s="28">
        <v>32</v>
      </c>
      <c r="B333" s="28">
        <v>0.90400000000000003</v>
      </c>
      <c r="C333" s="28">
        <v>0.91500000000000004</v>
      </c>
      <c r="D333" s="28">
        <v>0.93</v>
      </c>
      <c r="E333" s="28">
        <v>0.94099999999999995</v>
      </c>
      <c r="F333" s="28">
        <v>0.96799999999999997</v>
      </c>
    </row>
    <row r="334" spans="1:6">
      <c r="A334" s="28">
        <v>33</v>
      </c>
      <c r="B334" s="28">
        <v>0.90600000000000003</v>
      </c>
      <c r="C334" s="28">
        <v>0.91700000000000004</v>
      </c>
      <c r="D334" s="28">
        <v>0.93100000000000005</v>
      </c>
      <c r="E334" s="28">
        <v>0.94199999999999995</v>
      </c>
      <c r="F334" s="28">
        <v>0.96799999999999997</v>
      </c>
    </row>
    <row r="335" spans="1:6">
      <c r="A335" s="28">
        <v>34</v>
      </c>
      <c r="B335" s="28">
        <v>0.90800000000000003</v>
      </c>
      <c r="C335" s="28">
        <v>0.91900000000000004</v>
      </c>
      <c r="D335" s="28">
        <v>0.93300000000000005</v>
      </c>
      <c r="E335" s="28">
        <v>0.94299999999999995</v>
      </c>
      <c r="F335" s="28">
        <v>0.96899999999999997</v>
      </c>
    </row>
    <row r="336" spans="1:6">
      <c r="A336" s="28">
        <v>35</v>
      </c>
      <c r="B336" s="28">
        <v>0.91</v>
      </c>
      <c r="C336" s="28">
        <v>0.92</v>
      </c>
      <c r="D336" s="28">
        <v>0.93400000000000005</v>
      </c>
      <c r="E336" s="28">
        <v>0.94399999999999995</v>
      </c>
      <c r="F336" s="28">
        <v>0.96899999999999997</v>
      </c>
    </row>
    <row r="337" spans="1:6">
      <c r="A337" s="28">
        <v>36</v>
      </c>
      <c r="B337" s="28">
        <v>0.91200000000000003</v>
      </c>
      <c r="C337" s="28">
        <v>0.92200000000000004</v>
      </c>
      <c r="D337" s="28">
        <v>0.93500000000000005</v>
      </c>
      <c r="E337" s="28">
        <v>0.94499999999999995</v>
      </c>
      <c r="F337" s="28">
        <v>0.97</v>
      </c>
    </row>
    <row r="338" spans="1:6">
      <c r="A338" s="28">
        <v>37</v>
      </c>
      <c r="B338" s="28">
        <v>0.91400000000000003</v>
      </c>
      <c r="C338" s="28">
        <v>0.92400000000000004</v>
      </c>
      <c r="D338" s="28">
        <v>0.93600000000000005</v>
      </c>
      <c r="E338" s="28">
        <v>0.94599999999999995</v>
      </c>
      <c r="F338" s="28">
        <v>0.97</v>
      </c>
    </row>
    <row r="339" spans="1:6">
      <c r="A339" s="28">
        <v>38</v>
      </c>
      <c r="B339" s="28">
        <v>0.91600000000000004</v>
      </c>
      <c r="C339" s="28">
        <v>0.92500000000000004</v>
      </c>
      <c r="D339" s="28">
        <v>0.93799999999999994</v>
      </c>
      <c r="E339" s="28">
        <v>0.94699999999999995</v>
      </c>
      <c r="F339" s="28">
        <v>0.97099999999999997</v>
      </c>
    </row>
    <row r="340" spans="1:6">
      <c r="A340" s="28">
        <v>39</v>
      </c>
      <c r="B340" s="28">
        <v>0.91700000000000004</v>
      </c>
      <c r="C340" s="28">
        <v>0.92700000000000005</v>
      </c>
      <c r="D340" s="28">
        <v>0.93899999999999995</v>
      </c>
      <c r="E340" s="28">
        <v>0.94799999999999995</v>
      </c>
      <c r="F340" s="28">
        <v>0.97099999999999997</v>
      </c>
    </row>
    <row r="341" spans="1:6">
      <c r="A341" s="28">
        <v>40</v>
      </c>
      <c r="B341" s="28">
        <v>0.91900000000000004</v>
      </c>
      <c r="C341" s="28">
        <v>0.92800000000000005</v>
      </c>
      <c r="D341" s="28">
        <v>0.94</v>
      </c>
      <c r="E341" s="28">
        <v>0.94899999999999995</v>
      </c>
      <c r="F341" s="28">
        <v>0.97199999999999998</v>
      </c>
    </row>
    <row r="342" spans="1:6">
      <c r="A342" s="28">
        <v>41</v>
      </c>
      <c r="B342" s="28">
        <v>0.92</v>
      </c>
      <c r="C342" s="28">
        <v>0.92900000000000005</v>
      </c>
      <c r="D342" s="28">
        <v>0.94099999999999995</v>
      </c>
      <c r="E342" s="28">
        <v>0.95</v>
      </c>
      <c r="F342" s="28">
        <v>0.97199999999999998</v>
      </c>
    </row>
    <row r="343" spans="1:6">
      <c r="A343" s="28">
        <v>42</v>
      </c>
      <c r="B343" s="28">
        <v>0.92200000000000004</v>
      </c>
      <c r="C343" s="28">
        <v>0.93</v>
      </c>
      <c r="D343" s="28">
        <v>0.94199999999999995</v>
      </c>
      <c r="E343" s="28">
        <v>0.95099999999999996</v>
      </c>
      <c r="F343" s="28">
        <v>0.97199999999999998</v>
      </c>
    </row>
    <row r="344" spans="1:6">
      <c r="A344" s="28">
        <v>43</v>
      </c>
      <c r="B344" s="28">
        <v>0.92300000000000004</v>
      </c>
      <c r="C344" s="28">
        <v>0.93200000000000005</v>
      </c>
      <c r="D344" s="28">
        <v>0.94299999999999995</v>
      </c>
      <c r="E344" s="28">
        <v>0.95099999999999996</v>
      </c>
      <c r="F344" s="28">
        <v>0.97299999999999998</v>
      </c>
    </row>
    <row r="345" spans="1:6">
      <c r="A345" s="28">
        <v>44</v>
      </c>
      <c r="B345" s="28">
        <v>0.92400000000000004</v>
      </c>
      <c r="C345" s="28">
        <v>0.93300000000000005</v>
      </c>
      <c r="D345" s="28">
        <v>0.94399999999999995</v>
      </c>
      <c r="E345" s="28">
        <v>0.95199999999999996</v>
      </c>
      <c r="F345" s="28">
        <v>0.97299999999999998</v>
      </c>
    </row>
    <row r="346" spans="1:6">
      <c r="A346" s="28">
        <v>45</v>
      </c>
      <c r="B346" s="28">
        <v>0.92600000000000005</v>
      </c>
      <c r="C346" s="28">
        <v>0.93400000000000005</v>
      </c>
      <c r="D346" s="28">
        <v>0.94499999999999995</v>
      </c>
      <c r="E346" s="28">
        <v>0.95299999999999996</v>
      </c>
      <c r="F346" s="28">
        <v>0.97299999999999998</v>
      </c>
    </row>
    <row r="347" spans="1:6">
      <c r="A347" s="28">
        <v>46</v>
      </c>
      <c r="B347" s="28">
        <v>0.92700000000000005</v>
      </c>
      <c r="C347" s="28">
        <v>0.93500000000000005</v>
      </c>
      <c r="D347" s="28">
        <v>0.94499999999999995</v>
      </c>
      <c r="E347" s="28">
        <v>0.95299999999999996</v>
      </c>
      <c r="F347" s="28">
        <v>0.97399999999999998</v>
      </c>
    </row>
    <row r="348" spans="1:6">
      <c r="A348" s="28">
        <v>47</v>
      </c>
      <c r="B348" s="28">
        <v>0.92800000000000005</v>
      </c>
      <c r="C348" s="28">
        <v>0.93600000000000005</v>
      </c>
      <c r="D348" s="28">
        <v>0.94599999999999995</v>
      </c>
      <c r="E348" s="28">
        <v>0.95399999999999996</v>
      </c>
      <c r="F348" s="28">
        <v>0.97399999999999998</v>
      </c>
    </row>
    <row r="349" spans="1:6">
      <c r="A349" s="28">
        <v>48</v>
      </c>
      <c r="B349" s="28">
        <v>0.92900000000000005</v>
      </c>
      <c r="C349" s="28">
        <v>0.93700000000000006</v>
      </c>
      <c r="D349" s="28">
        <v>0.94699999999999995</v>
      </c>
      <c r="E349" s="28">
        <v>0.95399999999999996</v>
      </c>
      <c r="F349" s="28">
        <v>0.97399999999999998</v>
      </c>
    </row>
    <row r="350" spans="1:6">
      <c r="A350" s="28">
        <v>49</v>
      </c>
      <c r="B350" s="28">
        <v>0.92900000000000005</v>
      </c>
      <c r="C350" s="28">
        <v>0.93700000000000006</v>
      </c>
      <c r="D350" s="28">
        <v>0.94699999999999995</v>
      </c>
      <c r="E350" s="28">
        <v>0.95499999999999996</v>
      </c>
      <c r="F350" s="28">
        <v>0.97399999999999998</v>
      </c>
    </row>
    <row r="351" spans="1:6">
      <c r="A351" s="28">
        <v>50</v>
      </c>
      <c r="B351" s="28">
        <v>0.93</v>
      </c>
      <c r="C351" s="28">
        <v>0.93799999999999994</v>
      </c>
      <c r="D351" s="28">
        <v>0.94699999999999995</v>
      </c>
      <c r="E351" s="28">
        <v>0.95499999999999996</v>
      </c>
      <c r="F351" s="28">
        <v>0.97399999999999998</v>
      </c>
    </row>
    <row r="357" spans="1:8">
      <c r="A357" s="28" t="s">
        <v>229</v>
      </c>
    </row>
    <row r="359" spans="1:8">
      <c r="A359" s="28" t="s">
        <v>230</v>
      </c>
      <c r="B359" s="28" t="e">
        <f>(T13^2)*(T10-1)</f>
        <v>#DIV/0!</v>
      </c>
    </row>
    <row r="360" spans="1:8">
      <c r="A360" s="28" t="s">
        <v>231</v>
      </c>
      <c r="B360" s="28">
        <f>INT(T10/2)</f>
        <v>0</v>
      </c>
      <c r="C360" s="29" t="s">
        <v>232</v>
      </c>
    </row>
    <row r="361" spans="1:8">
      <c r="A361" s="28" t="s">
        <v>233</v>
      </c>
      <c r="B361" s="28" t="e" vm="1">
        <f>(E416^2)/B359</f>
        <v>#VALUE!</v>
      </c>
      <c r="C361" s="29" t="e" vm="2">
        <f>HLOOKUP(0.05,A302:F351,T10)</f>
        <v>#VALUE!</v>
      </c>
      <c r="D361" s="29" t="e" vm="1">
        <f>IF(B361&lt;C361,"No","Yes")</f>
        <v>#VALUE!</v>
      </c>
    </row>
    <row r="362" spans="1:8">
      <c r="A362" s="28" t="s">
        <v>234</v>
      </c>
      <c r="B362" s="28" t="e" vm="1">
        <f>(H416^2)/((T21^2)*(T10-1))</f>
        <v>#VALUE!</v>
      </c>
      <c r="C362" s="29" t="e" vm="1">
        <f>C361</f>
        <v>#VALUE!</v>
      </c>
      <c r="D362" s="29" t="e" vm="1">
        <f>IF(B362&lt;C362,"No","Yes")</f>
        <v>#VALUE!</v>
      </c>
    </row>
    <row r="364" spans="1:8">
      <c r="A364" s="28" t="s">
        <v>187</v>
      </c>
      <c r="B364" s="28" t="s">
        <v>235</v>
      </c>
      <c r="C364" s="29" t="s">
        <v>236</v>
      </c>
      <c r="D364" s="29" t="s">
        <v>237</v>
      </c>
      <c r="E364" s="29" t="s">
        <v>238</v>
      </c>
      <c r="F364" s="29" t="s">
        <v>239</v>
      </c>
      <c r="G364" s="29" t="s">
        <v>240</v>
      </c>
      <c r="H364" s="29" t="s">
        <v>241</v>
      </c>
    </row>
    <row r="365" spans="1:8">
      <c r="A365" s="28">
        <f>1</f>
        <v>1</v>
      </c>
      <c r="B365" s="28" t="e" vm="3">
        <f t="shared" ref="B365:B396" si="41">VLOOKUP(A365,$A$272:$AX$297,$T$10)</f>
        <v>#VALUE!</v>
      </c>
      <c r="C365" s="29" t="e">
        <f t="shared" ref="C365:C396" si="42">IF(A365&lt;$B$360+1,LARGE($A$10:$A$60,A365),NA())</f>
        <v>#N/A</v>
      </c>
      <c r="D365" s="29" t="e">
        <f t="shared" ref="D365:D396" si="43">IF(A365&lt;$B$360+1,SMALL($A$10:$A$60,A365),NA())</f>
        <v>#N/A</v>
      </c>
      <c r="E365" s="29" t="e" vm="1">
        <f t="shared" ref="E365:E396" si="44">IF(A365=FALSE,FALSE(),B365*(C365-D365))</f>
        <v>#VALUE!</v>
      </c>
      <c r="F365" s="29" t="e">
        <f t="shared" ref="F365:F396" si="45">LN(C365)</f>
        <v>#N/A</v>
      </c>
      <c r="G365" s="29" t="e">
        <f t="shared" ref="G365:G396" si="46">LN(D365)</f>
        <v>#N/A</v>
      </c>
      <c r="H365" s="29" t="e" vm="1">
        <f t="shared" ref="H365:H396" si="47">IF(A365=FALSE,FALSE(),B365*(F365-G365))</f>
        <v>#VALUE!</v>
      </c>
    </row>
    <row r="366" spans="1:8">
      <c r="A366" s="28" t="b">
        <f t="shared" ref="A366:A397" si="48">IF(A365&lt;$B$360,A365+1,FALSE())</f>
        <v>0</v>
      </c>
      <c r="B366" s="28" t="e">
        <f t="shared" si="41"/>
        <v>#N/A</v>
      </c>
      <c r="C366" s="29" t="e">
        <f t="shared" si="42"/>
        <v>#N/A</v>
      </c>
      <c r="D366" s="29" t="e">
        <f t="shared" si="43"/>
        <v>#N/A</v>
      </c>
      <c r="E366" s="29" t="b">
        <f t="shared" si="44"/>
        <v>0</v>
      </c>
      <c r="F366" s="29" t="e">
        <f t="shared" si="45"/>
        <v>#N/A</v>
      </c>
      <c r="G366" s="29" t="e">
        <f t="shared" si="46"/>
        <v>#N/A</v>
      </c>
      <c r="H366" s="29" t="b">
        <f t="shared" si="47"/>
        <v>0</v>
      </c>
    </row>
    <row r="367" spans="1:8">
      <c r="A367" s="28" t="b">
        <f t="shared" si="48"/>
        <v>0</v>
      </c>
      <c r="B367" s="28" t="e">
        <f t="shared" si="41"/>
        <v>#N/A</v>
      </c>
      <c r="C367" s="29" t="e">
        <f t="shared" si="42"/>
        <v>#N/A</v>
      </c>
      <c r="D367" s="29" t="e">
        <f t="shared" si="43"/>
        <v>#N/A</v>
      </c>
      <c r="E367" s="29" t="b">
        <f t="shared" si="44"/>
        <v>0</v>
      </c>
      <c r="F367" s="29" t="e">
        <f t="shared" si="45"/>
        <v>#N/A</v>
      </c>
      <c r="G367" s="29" t="e">
        <f t="shared" si="46"/>
        <v>#N/A</v>
      </c>
      <c r="H367" s="29" t="b">
        <f t="shared" si="47"/>
        <v>0</v>
      </c>
    </row>
    <row r="368" spans="1:8">
      <c r="A368" s="28" t="b">
        <f t="shared" si="48"/>
        <v>0</v>
      </c>
      <c r="B368" s="28" t="e">
        <f t="shared" si="41"/>
        <v>#N/A</v>
      </c>
      <c r="C368" s="29" t="e">
        <f t="shared" si="42"/>
        <v>#N/A</v>
      </c>
      <c r="D368" s="29" t="e">
        <f t="shared" si="43"/>
        <v>#N/A</v>
      </c>
      <c r="E368" s="29" t="b">
        <f t="shared" si="44"/>
        <v>0</v>
      </c>
      <c r="F368" s="29" t="e">
        <f t="shared" si="45"/>
        <v>#N/A</v>
      </c>
      <c r="G368" s="29" t="e">
        <f t="shared" si="46"/>
        <v>#N/A</v>
      </c>
      <c r="H368" s="29" t="b">
        <f t="shared" si="47"/>
        <v>0</v>
      </c>
    </row>
    <row r="369" spans="1:8">
      <c r="A369" s="28" t="b">
        <f t="shared" si="48"/>
        <v>0</v>
      </c>
      <c r="B369" s="28" t="e">
        <f t="shared" si="41"/>
        <v>#N/A</v>
      </c>
      <c r="C369" s="29" t="e">
        <f t="shared" si="42"/>
        <v>#N/A</v>
      </c>
      <c r="D369" s="29" t="e">
        <f t="shared" si="43"/>
        <v>#N/A</v>
      </c>
      <c r="E369" s="29" t="b">
        <f t="shared" si="44"/>
        <v>0</v>
      </c>
      <c r="F369" s="29" t="e">
        <f t="shared" si="45"/>
        <v>#N/A</v>
      </c>
      <c r="G369" s="29" t="e">
        <f t="shared" si="46"/>
        <v>#N/A</v>
      </c>
      <c r="H369" s="29" t="b">
        <f t="shared" si="47"/>
        <v>0</v>
      </c>
    </row>
    <row r="370" spans="1:8">
      <c r="A370" s="28" t="b">
        <f t="shared" si="48"/>
        <v>0</v>
      </c>
      <c r="B370" s="28" t="e">
        <f t="shared" si="41"/>
        <v>#N/A</v>
      </c>
      <c r="C370" s="29" t="e">
        <f t="shared" si="42"/>
        <v>#N/A</v>
      </c>
      <c r="D370" s="29" t="e">
        <f t="shared" si="43"/>
        <v>#N/A</v>
      </c>
      <c r="E370" s="29" t="b">
        <f t="shared" si="44"/>
        <v>0</v>
      </c>
      <c r="F370" s="29" t="e">
        <f t="shared" si="45"/>
        <v>#N/A</v>
      </c>
      <c r="G370" s="29" t="e">
        <f t="shared" si="46"/>
        <v>#N/A</v>
      </c>
      <c r="H370" s="29" t="b">
        <f t="shared" si="47"/>
        <v>0</v>
      </c>
    </row>
    <row r="371" spans="1:8">
      <c r="A371" s="28" t="b">
        <f t="shared" si="48"/>
        <v>0</v>
      </c>
      <c r="B371" s="28" t="e">
        <f t="shared" si="41"/>
        <v>#N/A</v>
      </c>
      <c r="C371" s="29" t="e">
        <f t="shared" si="42"/>
        <v>#N/A</v>
      </c>
      <c r="D371" s="29" t="e">
        <f t="shared" si="43"/>
        <v>#N/A</v>
      </c>
      <c r="E371" s="29" t="b">
        <f t="shared" si="44"/>
        <v>0</v>
      </c>
      <c r="F371" s="29" t="e">
        <f t="shared" si="45"/>
        <v>#N/A</v>
      </c>
      <c r="G371" s="29" t="e">
        <f t="shared" si="46"/>
        <v>#N/A</v>
      </c>
      <c r="H371" s="29" t="b">
        <f t="shared" si="47"/>
        <v>0</v>
      </c>
    </row>
    <row r="372" spans="1:8">
      <c r="A372" s="28" t="b">
        <f t="shared" si="48"/>
        <v>0</v>
      </c>
      <c r="B372" s="28" t="e">
        <f t="shared" si="41"/>
        <v>#N/A</v>
      </c>
      <c r="C372" s="29" t="e">
        <f t="shared" si="42"/>
        <v>#N/A</v>
      </c>
      <c r="D372" s="29" t="e">
        <f t="shared" si="43"/>
        <v>#N/A</v>
      </c>
      <c r="E372" s="29" t="b">
        <f t="shared" si="44"/>
        <v>0</v>
      </c>
      <c r="F372" s="29" t="e">
        <f t="shared" si="45"/>
        <v>#N/A</v>
      </c>
      <c r="G372" s="29" t="e">
        <f t="shared" si="46"/>
        <v>#N/A</v>
      </c>
      <c r="H372" s="29" t="b">
        <f t="shared" si="47"/>
        <v>0</v>
      </c>
    </row>
    <row r="373" spans="1:8">
      <c r="A373" s="28" t="b">
        <f t="shared" si="48"/>
        <v>0</v>
      </c>
      <c r="B373" s="28" t="e">
        <f t="shared" si="41"/>
        <v>#N/A</v>
      </c>
      <c r="C373" s="29" t="e">
        <f t="shared" si="42"/>
        <v>#N/A</v>
      </c>
      <c r="D373" s="29" t="e">
        <f t="shared" si="43"/>
        <v>#N/A</v>
      </c>
      <c r="E373" s="29" t="b">
        <f t="shared" si="44"/>
        <v>0</v>
      </c>
      <c r="F373" s="29" t="e">
        <f t="shared" si="45"/>
        <v>#N/A</v>
      </c>
      <c r="G373" s="29" t="e">
        <f t="shared" si="46"/>
        <v>#N/A</v>
      </c>
      <c r="H373" s="29" t="b">
        <f t="shared" si="47"/>
        <v>0</v>
      </c>
    </row>
    <row r="374" spans="1:8">
      <c r="A374" s="28" t="b">
        <f t="shared" si="48"/>
        <v>0</v>
      </c>
      <c r="B374" s="28" t="e">
        <f t="shared" si="41"/>
        <v>#N/A</v>
      </c>
      <c r="C374" s="29" t="e">
        <f t="shared" si="42"/>
        <v>#N/A</v>
      </c>
      <c r="D374" s="29" t="e">
        <f t="shared" si="43"/>
        <v>#N/A</v>
      </c>
      <c r="E374" s="29" t="b">
        <f t="shared" si="44"/>
        <v>0</v>
      </c>
      <c r="F374" s="29" t="e">
        <f t="shared" si="45"/>
        <v>#N/A</v>
      </c>
      <c r="G374" s="29" t="e">
        <f t="shared" si="46"/>
        <v>#N/A</v>
      </c>
      <c r="H374" s="29" t="b">
        <f t="shared" si="47"/>
        <v>0</v>
      </c>
    </row>
    <row r="375" spans="1:8">
      <c r="A375" s="28" t="b">
        <f t="shared" si="48"/>
        <v>0</v>
      </c>
      <c r="B375" s="28" t="e">
        <f t="shared" si="41"/>
        <v>#N/A</v>
      </c>
      <c r="C375" s="29" t="e">
        <f t="shared" si="42"/>
        <v>#N/A</v>
      </c>
      <c r="D375" s="29" t="e">
        <f t="shared" si="43"/>
        <v>#N/A</v>
      </c>
      <c r="E375" s="29" t="b">
        <f t="shared" si="44"/>
        <v>0</v>
      </c>
      <c r="F375" s="29" t="e">
        <f t="shared" si="45"/>
        <v>#N/A</v>
      </c>
      <c r="G375" s="29" t="e">
        <f t="shared" si="46"/>
        <v>#N/A</v>
      </c>
      <c r="H375" s="29" t="b">
        <f t="shared" si="47"/>
        <v>0</v>
      </c>
    </row>
    <row r="376" spans="1:8">
      <c r="A376" s="28" t="b">
        <f t="shared" si="48"/>
        <v>0</v>
      </c>
      <c r="B376" s="28" t="e">
        <f t="shared" si="41"/>
        <v>#N/A</v>
      </c>
      <c r="C376" s="29" t="e">
        <f t="shared" si="42"/>
        <v>#N/A</v>
      </c>
      <c r="D376" s="29" t="e">
        <f t="shared" si="43"/>
        <v>#N/A</v>
      </c>
      <c r="E376" s="29" t="b">
        <f t="shared" si="44"/>
        <v>0</v>
      </c>
      <c r="F376" s="29" t="e">
        <f t="shared" si="45"/>
        <v>#N/A</v>
      </c>
      <c r="G376" s="29" t="e">
        <f t="shared" si="46"/>
        <v>#N/A</v>
      </c>
      <c r="H376" s="29" t="b">
        <f t="shared" si="47"/>
        <v>0</v>
      </c>
    </row>
    <row r="377" spans="1:8">
      <c r="A377" s="28" t="b">
        <f t="shared" si="48"/>
        <v>0</v>
      </c>
      <c r="B377" s="28" t="e">
        <f t="shared" si="41"/>
        <v>#N/A</v>
      </c>
      <c r="C377" s="29" t="e">
        <f t="shared" si="42"/>
        <v>#N/A</v>
      </c>
      <c r="D377" s="29" t="e">
        <f t="shared" si="43"/>
        <v>#N/A</v>
      </c>
      <c r="E377" s="29" t="b">
        <f t="shared" si="44"/>
        <v>0</v>
      </c>
      <c r="F377" s="29" t="e">
        <f t="shared" si="45"/>
        <v>#N/A</v>
      </c>
      <c r="G377" s="29" t="e">
        <f t="shared" si="46"/>
        <v>#N/A</v>
      </c>
      <c r="H377" s="29" t="b">
        <f t="shared" si="47"/>
        <v>0</v>
      </c>
    </row>
    <row r="378" spans="1:8">
      <c r="A378" s="28" t="b">
        <f t="shared" si="48"/>
        <v>0</v>
      </c>
      <c r="B378" s="28" t="e">
        <f t="shared" si="41"/>
        <v>#N/A</v>
      </c>
      <c r="C378" s="29" t="e">
        <f t="shared" si="42"/>
        <v>#N/A</v>
      </c>
      <c r="D378" s="29" t="e">
        <f t="shared" si="43"/>
        <v>#N/A</v>
      </c>
      <c r="E378" s="29" t="b">
        <f t="shared" si="44"/>
        <v>0</v>
      </c>
      <c r="F378" s="29" t="e">
        <f t="shared" si="45"/>
        <v>#N/A</v>
      </c>
      <c r="G378" s="29" t="e">
        <f t="shared" si="46"/>
        <v>#N/A</v>
      </c>
      <c r="H378" s="29" t="b">
        <f t="shared" si="47"/>
        <v>0</v>
      </c>
    </row>
    <row r="379" spans="1:8">
      <c r="A379" s="28" t="b">
        <f t="shared" si="48"/>
        <v>0</v>
      </c>
      <c r="B379" s="28" t="e">
        <f t="shared" si="41"/>
        <v>#N/A</v>
      </c>
      <c r="C379" s="29" t="e">
        <f t="shared" si="42"/>
        <v>#N/A</v>
      </c>
      <c r="D379" s="29" t="e">
        <f t="shared" si="43"/>
        <v>#N/A</v>
      </c>
      <c r="E379" s="29" t="b">
        <f t="shared" si="44"/>
        <v>0</v>
      </c>
      <c r="F379" s="29" t="e">
        <f t="shared" si="45"/>
        <v>#N/A</v>
      </c>
      <c r="G379" s="29" t="e">
        <f t="shared" si="46"/>
        <v>#N/A</v>
      </c>
      <c r="H379" s="29" t="b">
        <f t="shared" si="47"/>
        <v>0</v>
      </c>
    </row>
    <row r="380" spans="1:8">
      <c r="A380" s="28" t="b">
        <f t="shared" si="48"/>
        <v>0</v>
      </c>
      <c r="B380" s="28" t="e">
        <f t="shared" si="41"/>
        <v>#N/A</v>
      </c>
      <c r="C380" s="29" t="e">
        <f t="shared" si="42"/>
        <v>#N/A</v>
      </c>
      <c r="D380" s="29" t="e">
        <f t="shared" si="43"/>
        <v>#N/A</v>
      </c>
      <c r="E380" s="29" t="b">
        <f t="shared" si="44"/>
        <v>0</v>
      </c>
      <c r="F380" s="29" t="e">
        <f t="shared" si="45"/>
        <v>#N/A</v>
      </c>
      <c r="G380" s="29" t="e">
        <f t="shared" si="46"/>
        <v>#N/A</v>
      </c>
      <c r="H380" s="29" t="b">
        <f t="shared" si="47"/>
        <v>0</v>
      </c>
    </row>
    <row r="381" spans="1:8">
      <c r="A381" s="28" t="b">
        <f t="shared" si="48"/>
        <v>0</v>
      </c>
      <c r="B381" s="28" t="e">
        <f t="shared" si="41"/>
        <v>#N/A</v>
      </c>
      <c r="C381" s="29" t="e">
        <f t="shared" si="42"/>
        <v>#N/A</v>
      </c>
      <c r="D381" s="29" t="e">
        <f t="shared" si="43"/>
        <v>#N/A</v>
      </c>
      <c r="E381" s="29" t="b">
        <f t="shared" si="44"/>
        <v>0</v>
      </c>
      <c r="F381" s="29" t="e">
        <f t="shared" si="45"/>
        <v>#N/A</v>
      </c>
      <c r="G381" s="29" t="e">
        <f t="shared" si="46"/>
        <v>#N/A</v>
      </c>
      <c r="H381" s="29" t="b">
        <f t="shared" si="47"/>
        <v>0</v>
      </c>
    </row>
    <row r="382" spans="1:8">
      <c r="A382" s="28" t="b">
        <f t="shared" si="48"/>
        <v>0</v>
      </c>
      <c r="B382" s="28" t="e">
        <f t="shared" si="41"/>
        <v>#N/A</v>
      </c>
      <c r="C382" s="29" t="e">
        <f t="shared" si="42"/>
        <v>#N/A</v>
      </c>
      <c r="D382" s="29" t="e">
        <f t="shared" si="43"/>
        <v>#N/A</v>
      </c>
      <c r="E382" s="29" t="b">
        <f t="shared" si="44"/>
        <v>0</v>
      </c>
      <c r="F382" s="29" t="e">
        <f t="shared" si="45"/>
        <v>#N/A</v>
      </c>
      <c r="G382" s="29" t="e">
        <f t="shared" si="46"/>
        <v>#N/A</v>
      </c>
      <c r="H382" s="29" t="b">
        <f t="shared" si="47"/>
        <v>0</v>
      </c>
    </row>
    <row r="383" spans="1:8">
      <c r="A383" s="28" t="b">
        <f t="shared" si="48"/>
        <v>0</v>
      </c>
      <c r="B383" s="28" t="e">
        <f t="shared" si="41"/>
        <v>#N/A</v>
      </c>
      <c r="C383" s="29" t="e">
        <f t="shared" si="42"/>
        <v>#N/A</v>
      </c>
      <c r="D383" s="29" t="e">
        <f t="shared" si="43"/>
        <v>#N/A</v>
      </c>
      <c r="E383" s="29" t="b">
        <f t="shared" si="44"/>
        <v>0</v>
      </c>
      <c r="F383" s="29" t="e">
        <f t="shared" si="45"/>
        <v>#N/A</v>
      </c>
      <c r="G383" s="29" t="e">
        <f t="shared" si="46"/>
        <v>#N/A</v>
      </c>
      <c r="H383" s="29" t="b">
        <f t="shared" si="47"/>
        <v>0</v>
      </c>
    </row>
    <row r="384" spans="1:8">
      <c r="A384" s="28" t="b">
        <f t="shared" si="48"/>
        <v>0</v>
      </c>
      <c r="B384" s="28" t="e">
        <f t="shared" si="41"/>
        <v>#N/A</v>
      </c>
      <c r="C384" s="29" t="e">
        <f t="shared" si="42"/>
        <v>#N/A</v>
      </c>
      <c r="D384" s="29" t="e">
        <f t="shared" si="43"/>
        <v>#N/A</v>
      </c>
      <c r="E384" s="29" t="b">
        <f t="shared" si="44"/>
        <v>0</v>
      </c>
      <c r="F384" s="29" t="e">
        <f t="shared" si="45"/>
        <v>#N/A</v>
      </c>
      <c r="G384" s="29" t="e">
        <f t="shared" si="46"/>
        <v>#N/A</v>
      </c>
      <c r="H384" s="29" t="b">
        <f t="shared" si="47"/>
        <v>0</v>
      </c>
    </row>
    <row r="385" spans="1:8">
      <c r="A385" s="28" t="b">
        <f t="shared" si="48"/>
        <v>0</v>
      </c>
      <c r="B385" s="28" t="e">
        <f t="shared" si="41"/>
        <v>#N/A</v>
      </c>
      <c r="C385" s="29" t="e">
        <f t="shared" si="42"/>
        <v>#N/A</v>
      </c>
      <c r="D385" s="29" t="e">
        <f t="shared" si="43"/>
        <v>#N/A</v>
      </c>
      <c r="E385" s="29" t="b">
        <f t="shared" si="44"/>
        <v>0</v>
      </c>
      <c r="F385" s="29" t="e">
        <f t="shared" si="45"/>
        <v>#N/A</v>
      </c>
      <c r="G385" s="29" t="e">
        <f t="shared" si="46"/>
        <v>#N/A</v>
      </c>
      <c r="H385" s="29" t="b">
        <f t="shared" si="47"/>
        <v>0</v>
      </c>
    </row>
    <row r="386" spans="1:8">
      <c r="A386" s="28" t="b">
        <f t="shared" si="48"/>
        <v>0</v>
      </c>
      <c r="B386" s="28" t="e">
        <f t="shared" si="41"/>
        <v>#N/A</v>
      </c>
      <c r="C386" s="29" t="e">
        <f t="shared" si="42"/>
        <v>#N/A</v>
      </c>
      <c r="D386" s="29" t="e">
        <f t="shared" si="43"/>
        <v>#N/A</v>
      </c>
      <c r="E386" s="29" t="b">
        <f t="shared" si="44"/>
        <v>0</v>
      </c>
      <c r="F386" s="29" t="e">
        <f t="shared" si="45"/>
        <v>#N/A</v>
      </c>
      <c r="G386" s="29" t="e">
        <f t="shared" si="46"/>
        <v>#N/A</v>
      </c>
      <c r="H386" s="29" t="b">
        <f t="shared" si="47"/>
        <v>0</v>
      </c>
    </row>
    <row r="387" spans="1:8">
      <c r="A387" s="28" t="b">
        <f t="shared" si="48"/>
        <v>0</v>
      </c>
      <c r="B387" s="28" t="e">
        <f t="shared" si="41"/>
        <v>#N/A</v>
      </c>
      <c r="C387" s="29" t="e">
        <f t="shared" si="42"/>
        <v>#N/A</v>
      </c>
      <c r="D387" s="29" t="e">
        <f t="shared" si="43"/>
        <v>#N/A</v>
      </c>
      <c r="E387" s="29" t="b">
        <f t="shared" si="44"/>
        <v>0</v>
      </c>
      <c r="F387" s="29" t="e">
        <f t="shared" si="45"/>
        <v>#N/A</v>
      </c>
      <c r="G387" s="29" t="e">
        <f t="shared" si="46"/>
        <v>#N/A</v>
      </c>
      <c r="H387" s="29" t="b">
        <f t="shared" si="47"/>
        <v>0</v>
      </c>
    </row>
    <row r="388" spans="1:8">
      <c r="A388" s="28" t="b">
        <f t="shared" si="48"/>
        <v>0</v>
      </c>
      <c r="B388" s="28" t="e">
        <f t="shared" si="41"/>
        <v>#N/A</v>
      </c>
      <c r="C388" s="29" t="e">
        <f t="shared" si="42"/>
        <v>#N/A</v>
      </c>
      <c r="D388" s="29" t="e">
        <f t="shared" si="43"/>
        <v>#N/A</v>
      </c>
      <c r="E388" s="29" t="b">
        <f t="shared" si="44"/>
        <v>0</v>
      </c>
      <c r="F388" s="29" t="e">
        <f t="shared" si="45"/>
        <v>#N/A</v>
      </c>
      <c r="G388" s="29" t="e">
        <f t="shared" si="46"/>
        <v>#N/A</v>
      </c>
      <c r="H388" s="29" t="b">
        <f t="shared" si="47"/>
        <v>0</v>
      </c>
    </row>
    <row r="389" spans="1:8">
      <c r="A389" s="28" t="b">
        <f t="shared" si="48"/>
        <v>0</v>
      </c>
      <c r="B389" s="28" t="e">
        <f t="shared" si="41"/>
        <v>#N/A</v>
      </c>
      <c r="C389" s="29" t="e">
        <f t="shared" si="42"/>
        <v>#N/A</v>
      </c>
      <c r="D389" s="29" t="e">
        <f t="shared" si="43"/>
        <v>#N/A</v>
      </c>
      <c r="E389" s="29" t="b">
        <f t="shared" si="44"/>
        <v>0</v>
      </c>
      <c r="F389" s="29" t="e">
        <f t="shared" si="45"/>
        <v>#N/A</v>
      </c>
      <c r="G389" s="29" t="e">
        <f t="shared" si="46"/>
        <v>#N/A</v>
      </c>
      <c r="H389" s="29" t="b">
        <f t="shared" si="47"/>
        <v>0</v>
      </c>
    </row>
    <row r="390" spans="1:8">
      <c r="A390" s="28" t="b">
        <f t="shared" si="48"/>
        <v>0</v>
      </c>
      <c r="B390" s="28" t="e">
        <f t="shared" si="41"/>
        <v>#N/A</v>
      </c>
      <c r="C390" s="29" t="e">
        <f t="shared" si="42"/>
        <v>#N/A</v>
      </c>
      <c r="D390" s="29" t="e">
        <f t="shared" si="43"/>
        <v>#N/A</v>
      </c>
      <c r="E390" s="29" t="b">
        <f t="shared" si="44"/>
        <v>0</v>
      </c>
      <c r="F390" s="29" t="e">
        <f t="shared" si="45"/>
        <v>#N/A</v>
      </c>
      <c r="G390" s="29" t="e">
        <f t="shared" si="46"/>
        <v>#N/A</v>
      </c>
      <c r="H390" s="29" t="b">
        <f t="shared" si="47"/>
        <v>0</v>
      </c>
    </row>
    <row r="391" spans="1:8">
      <c r="A391" s="28" t="b">
        <f t="shared" si="48"/>
        <v>0</v>
      </c>
      <c r="B391" s="28" t="e">
        <f t="shared" si="41"/>
        <v>#N/A</v>
      </c>
      <c r="C391" s="29" t="e">
        <f t="shared" si="42"/>
        <v>#N/A</v>
      </c>
      <c r="D391" s="29" t="e">
        <f t="shared" si="43"/>
        <v>#N/A</v>
      </c>
      <c r="E391" s="29" t="b">
        <f t="shared" si="44"/>
        <v>0</v>
      </c>
      <c r="F391" s="29" t="e">
        <f t="shared" si="45"/>
        <v>#N/A</v>
      </c>
      <c r="G391" s="29" t="e">
        <f t="shared" si="46"/>
        <v>#N/A</v>
      </c>
      <c r="H391" s="29" t="b">
        <f t="shared" si="47"/>
        <v>0</v>
      </c>
    </row>
    <row r="392" spans="1:8">
      <c r="A392" s="28" t="b">
        <f t="shared" si="48"/>
        <v>0</v>
      </c>
      <c r="B392" s="28" t="e">
        <f t="shared" si="41"/>
        <v>#N/A</v>
      </c>
      <c r="C392" s="29" t="e">
        <f t="shared" si="42"/>
        <v>#N/A</v>
      </c>
      <c r="D392" s="29" t="e">
        <f t="shared" si="43"/>
        <v>#N/A</v>
      </c>
      <c r="E392" s="29" t="b">
        <f t="shared" si="44"/>
        <v>0</v>
      </c>
      <c r="F392" s="29" t="e">
        <f t="shared" si="45"/>
        <v>#N/A</v>
      </c>
      <c r="G392" s="29" t="e">
        <f t="shared" si="46"/>
        <v>#N/A</v>
      </c>
      <c r="H392" s="29" t="b">
        <f t="shared" si="47"/>
        <v>0</v>
      </c>
    </row>
    <row r="393" spans="1:8">
      <c r="A393" s="28" t="b">
        <f t="shared" si="48"/>
        <v>0</v>
      </c>
      <c r="B393" s="28" t="e">
        <f t="shared" si="41"/>
        <v>#N/A</v>
      </c>
      <c r="C393" s="29" t="e">
        <f t="shared" si="42"/>
        <v>#N/A</v>
      </c>
      <c r="D393" s="29" t="e">
        <f t="shared" si="43"/>
        <v>#N/A</v>
      </c>
      <c r="E393" s="29" t="b">
        <f t="shared" si="44"/>
        <v>0</v>
      </c>
      <c r="F393" s="29" t="e">
        <f t="shared" si="45"/>
        <v>#N/A</v>
      </c>
      <c r="G393" s="29" t="e">
        <f t="shared" si="46"/>
        <v>#N/A</v>
      </c>
      <c r="H393" s="29" t="b">
        <f t="shared" si="47"/>
        <v>0</v>
      </c>
    </row>
    <row r="394" spans="1:8">
      <c r="A394" s="28" t="b">
        <f t="shared" si="48"/>
        <v>0</v>
      </c>
      <c r="B394" s="28" t="e">
        <f t="shared" si="41"/>
        <v>#N/A</v>
      </c>
      <c r="C394" s="29" t="e">
        <f t="shared" si="42"/>
        <v>#N/A</v>
      </c>
      <c r="D394" s="29" t="e">
        <f t="shared" si="43"/>
        <v>#N/A</v>
      </c>
      <c r="E394" s="29" t="b">
        <f t="shared" si="44"/>
        <v>0</v>
      </c>
      <c r="F394" s="29" t="e">
        <f t="shared" si="45"/>
        <v>#N/A</v>
      </c>
      <c r="G394" s="29" t="e">
        <f t="shared" si="46"/>
        <v>#N/A</v>
      </c>
      <c r="H394" s="29" t="b">
        <f t="shared" si="47"/>
        <v>0</v>
      </c>
    </row>
    <row r="395" spans="1:8">
      <c r="A395" s="28" t="b">
        <f t="shared" si="48"/>
        <v>0</v>
      </c>
      <c r="B395" s="28" t="e">
        <f t="shared" si="41"/>
        <v>#N/A</v>
      </c>
      <c r="C395" s="29" t="e">
        <f t="shared" si="42"/>
        <v>#N/A</v>
      </c>
      <c r="D395" s="29" t="e">
        <f t="shared" si="43"/>
        <v>#N/A</v>
      </c>
      <c r="E395" s="29" t="b">
        <f t="shared" si="44"/>
        <v>0</v>
      </c>
      <c r="F395" s="29" t="e">
        <f t="shared" si="45"/>
        <v>#N/A</v>
      </c>
      <c r="G395" s="29" t="e">
        <f t="shared" si="46"/>
        <v>#N/A</v>
      </c>
      <c r="H395" s="29" t="b">
        <f t="shared" si="47"/>
        <v>0</v>
      </c>
    </row>
    <row r="396" spans="1:8">
      <c r="A396" s="28" t="b">
        <f t="shared" si="48"/>
        <v>0</v>
      </c>
      <c r="B396" s="28" t="e">
        <f t="shared" si="41"/>
        <v>#N/A</v>
      </c>
      <c r="C396" s="29" t="e">
        <f t="shared" si="42"/>
        <v>#N/A</v>
      </c>
      <c r="D396" s="29" t="e">
        <f t="shared" si="43"/>
        <v>#N/A</v>
      </c>
      <c r="E396" s="29" t="b">
        <f t="shared" si="44"/>
        <v>0</v>
      </c>
      <c r="F396" s="29" t="e">
        <f t="shared" si="45"/>
        <v>#N/A</v>
      </c>
      <c r="G396" s="29" t="e">
        <f t="shared" si="46"/>
        <v>#N/A</v>
      </c>
      <c r="H396" s="29" t="b">
        <f t="shared" si="47"/>
        <v>0</v>
      </c>
    </row>
    <row r="397" spans="1:8">
      <c r="A397" s="28" t="b">
        <f t="shared" si="48"/>
        <v>0</v>
      </c>
      <c r="B397" s="28" t="e">
        <f t="shared" ref="B397:B414" si="49">VLOOKUP(A397,$A$272:$AX$297,$T$10)</f>
        <v>#N/A</v>
      </c>
      <c r="C397" s="29" t="e">
        <f t="shared" ref="C397:C414" si="50">IF(A397&lt;$B$360+1,LARGE($A$10:$A$60,A397),NA())</f>
        <v>#N/A</v>
      </c>
      <c r="D397" s="29" t="e">
        <f t="shared" ref="D397:D414" si="51">IF(A397&lt;$B$360+1,SMALL($A$10:$A$60,A397),NA())</f>
        <v>#N/A</v>
      </c>
      <c r="E397" s="29" t="b">
        <f t="shared" ref="E397:E414" si="52">IF(A397=FALSE,FALSE(),B397*(C397-D397))</f>
        <v>0</v>
      </c>
      <c r="F397" s="29" t="e">
        <f t="shared" ref="F397:F414" si="53">LN(C397)</f>
        <v>#N/A</v>
      </c>
      <c r="G397" s="29" t="e">
        <f t="shared" ref="G397:G414" si="54">LN(D397)</f>
        <v>#N/A</v>
      </c>
      <c r="H397" s="29" t="b">
        <f t="shared" ref="H397:H414" si="55">IF(A397=FALSE,FALSE(),B397*(F397-G397))</f>
        <v>0</v>
      </c>
    </row>
    <row r="398" spans="1:8">
      <c r="A398" s="28" t="b">
        <f t="shared" ref="A398:A414" si="56">IF(A397&lt;$B$360,A397+1,FALSE())</f>
        <v>0</v>
      </c>
      <c r="B398" s="28" t="e">
        <f t="shared" si="49"/>
        <v>#N/A</v>
      </c>
      <c r="C398" s="29" t="e">
        <f t="shared" si="50"/>
        <v>#N/A</v>
      </c>
      <c r="D398" s="29" t="e">
        <f t="shared" si="51"/>
        <v>#N/A</v>
      </c>
      <c r="E398" s="29" t="b">
        <f t="shared" si="52"/>
        <v>0</v>
      </c>
      <c r="F398" s="29" t="e">
        <f t="shared" si="53"/>
        <v>#N/A</v>
      </c>
      <c r="G398" s="29" t="e">
        <f t="shared" si="54"/>
        <v>#N/A</v>
      </c>
      <c r="H398" s="29" t="b">
        <f t="shared" si="55"/>
        <v>0</v>
      </c>
    </row>
    <row r="399" spans="1:8">
      <c r="A399" s="28" t="b">
        <f t="shared" si="56"/>
        <v>0</v>
      </c>
      <c r="B399" s="28" t="e">
        <f t="shared" si="49"/>
        <v>#N/A</v>
      </c>
      <c r="C399" s="29" t="e">
        <f t="shared" si="50"/>
        <v>#N/A</v>
      </c>
      <c r="D399" s="29" t="e">
        <f t="shared" si="51"/>
        <v>#N/A</v>
      </c>
      <c r="E399" s="29" t="b">
        <f t="shared" si="52"/>
        <v>0</v>
      </c>
      <c r="F399" s="29" t="e">
        <f t="shared" si="53"/>
        <v>#N/A</v>
      </c>
      <c r="G399" s="29" t="e">
        <f t="shared" si="54"/>
        <v>#N/A</v>
      </c>
      <c r="H399" s="29" t="b">
        <f t="shared" si="55"/>
        <v>0</v>
      </c>
    </row>
    <row r="400" spans="1:8">
      <c r="A400" s="28" t="b">
        <f t="shared" si="56"/>
        <v>0</v>
      </c>
      <c r="B400" s="28" t="e">
        <f t="shared" si="49"/>
        <v>#N/A</v>
      </c>
      <c r="C400" s="29" t="e">
        <f t="shared" si="50"/>
        <v>#N/A</v>
      </c>
      <c r="D400" s="29" t="e">
        <f t="shared" si="51"/>
        <v>#N/A</v>
      </c>
      <c r="E400" s="29" t="b">
        <f t="shared" si="52"/>
        <v>0</v>
      </c>
      <c r="F400" s="29" t="e">
        <f t="shared" si="53"/>
        <v>#N/A</v>
      </c>
      <c r="G400" s="29" t="e">
        <f t="shared" si="54"/>
        <v>#N/A</v>
      </c>
      <c r="H400" s="29" t="b">
        <f t="shared" si="55"/>
        <v>0</v>
      </c>
    </row>
    <row r="401" spans="1:8">
      <c r="A401" s="28" t="b">
        <f t="shared" si="56"/>
        <v>0</v>
      </c>
      <c r="B401" s="28" t="e">
        <f t="shared" si="49"/>
        <v>#N/A</v>
      </c>
      <c r="C401" s="29" t="e">
        <f t="shared" si="50"/>
        <v>#N/A</v>
      </c>
      <c r="D401" s="29" t="e">
        <f t="shared" si="51"/>
        <v>#N/A</v>
      </c>
      <c r="E401" s="29" t="b">
        <f t="shared" si="52"/>
        <v>0</v>
      </c>
      <c r="F401" s="29" t="e">
        <f t="shared" si="53"/>
        <v>#N/A</v>
      </c>
      <c r="G401" s="29" t="e">
        <f t="shared" si="54"/>
        <v>#N/A</v>
      </c>
      <c r="H401" s="29" t="b">
        <f t="shared" si="55"/>
        <v>0</v>
      </c>
    </row>
    <row r="402" spans="1:8">
      <c r="A402" s="28" t="b">
        <f t="shared" si="56"/>
        <v>0</v>
      </c>
      <c r="B402" s="28" t="e">
        <f t="shared" si="49"/>
        <v>#N/A</v>
      </c>
      <c r="C402" s="29" t="e">
        <f t="shared" si="50"/>
        <v>#N/A</v>
      </c>
      <c r="D402" s="29" t="e">
        <f t="shared" si="51"/>
        <v>#N/A</v>
      </c>
      <c r="E402" s="29" t="b">
        <f t="shared" si="52"/>
        <v>0</v>
      </c>
      <c r="F402" s="29" t="e">
        <f t="shared" si="53"/>
        <v>#N/A</v>
      </c>
      <c r="G402" s="29" t="e">
        <f t="shared" si="54"/>
        <v>#N/A</v>
      </c>
      <c r="H402" s="29" t="b">
        <f t="shared" si="55"/>
        <v>0</v>
      </c>
    </row>
    <row r="403" spans="1:8">
      <c r="A403" s="28" t="b">
        <f t="shared" si="56"/>
        <v>0</v>
      </c>
      <c r="B403" s="28" t="e">
        <f t="shared" si="49"/>
        <v>#N/A</v>
      </c>
      <c r="C403" s="29" t="e">
        <f t="shared" si="50"/>
        <v>#N/A</v>
      </c>
      <c r="D403" s="29" t="e">
        <f t="shared" si="51"/>
        <v>#N/A</v>
      </c>
      <c r="E403" s="29" t="b">
        <f t="shared" si="52"/>
        <v>0</v>
      </c>
      <c r="F403" s="29" t="e">
        <f t="shared" si="53"/>
        <v>#N/A</v>
      </c>
      <c r="G403" s="29" t="e">
        <f t="shared" si="54"/>
        <v>#N/A</v>
      </c>
      <c r="H403" s="29" t="b">
        <f t="shared" si="55"/>
        <v>0</v>
      </c>
    </row>
    <row r="404" spans="1:8">
      <c r="A404" s="28" t="b">
        <f t="shared" si="56"/>
        <v>0</v>
      </c>
      <c r="B404" s="28" t="e">
        <f t="shared" si="49"/>
        <v>#N/A</v>
      </c>
      <c r="C404" s="29" t="e">
        <f t="shared" si="50"/>
        <v>#N/A</v>
      </c>
      <c r="D404" s="29" t="e">
        <f t="shared" si="51"/>
        <v>#N/A</v>
      </c>
      <c r="E404" s="29" t="b">
        <f t="shared" si="52"/>
        <v>0</v>
      </c>
      <c r="F404" s="29" t="e">
        <f t="shared" si="53"/>
        <v>#N/A</v>
      </c>
      <c r="G404" s="29" t="e">
        <f t="shared" si="54"/>
        <v>#N/A</v>
      </c>
      <c r="H404" s="29" t="b">
        <f t="shared" si="55"/>
        <v>0</v>
      </c>
    </row>
    <row r="405" spans="1:8">
      <c r="A405" s="28" t="b">
        <f t="shared" si="56"/>
        <v>0</v>
      </c>
      <c r="B405" s="28" t="e">
        <f t="shared" si="49"/>
        <v>#N/A</v>
      </c>
      <c r="C405" s="29" t="e">
        <f t="shared" si="50"/>
        <v>#N/A</v>
      </c>
      <c r="D405" s="29" t="e">
        <f t="shared" si="51"/>
        <v>#N/A</v>
      </c>
      <c r="E405" s="29" t="b">
        <f t="shared" si="52"/>
        <v>0</v>
      </c>
      <c r="F405" s="29" t="e">
        <f t="shared" si="53"/>
        <v>#N/A</v>
      </c>
      <c r="G405" s="29" t="e">
        <f t="shared" si="54"/>
        <v>#N/A</v>
      </c>
      <c r="H405" s="29" t="b">
        <f t="shared" si="55"/>
        <v>0</v>
      </c>
    </row>
    <row r="406" spans="1:8">
      <c r="A406" s="28" t="b">
        <f t="shared" si="56"/>
        <v>0</v>
      </c>
      <c r="B406" s="28" t="e">
        <f t="shared" si="49"/>
        <v>#N/A</v>
      </c>
      <c r="C406" s="29" t="e">
        <f t="shared" si="50"/>
        <v>#N/A</v>
      </c>
      <c r="D406" s="29" t="e">
        <f t="shared" si="51"/>
        <v>#N/A</v>
      </c>
      <c r="E406" s="29" t="b">
        <f t="shared" si="52"/>
        <v>0</v>
      </c>
      <c r="F406" s="29" t="e">
        <f t="shared" si="53"/>
        <v>#N/A</v>
      </c>
      <c r="G406" s="29" t="e">
        <f t="shared" si="54"/>
        <v>#N/A</v>
      </c>
      <c r="H406" s="29" t="b">
        <f t="shared" si="55"/>
        <v>0</v>
      </c>
    </row>
    <row r="407" spans="1:8">
      <c r="A407" s="28" t="b">
        <f t="shared" si="56"/>
        <v>0</v>
      </c>
      <c r="B407" s="28" t="e">
        <f t="shared" si="49"/>
        <v>#N/A</v>
      </c>
      <c r="C407" s="29" t="e">
        <f t="shared" si="50"/>
        <v>#N/A</v>
      </c>
      <c r="D407" s="29" t="e">
        <f t="shared" si="51"/>
        <v>#N/A</v>
      </c>
      <c r="E407" s="29" t="b">
        <f t="shared" si="52"/>
        <v>0</v>
      </c>
      <c r="F407" s="29" t="e">
        <f t="shared" si="53"/>
        <v>#N/A</v>
      </c>
      <c r="G407" s="29" t="e">
        <f t="shared" si="54"/>
        <v>#N/A</v>
      </c>
      <c r="H407" s="29" t="b">
        <f t="shared" si="55"/>
        <v>0</v>
      </c>
    </row>
    <row r="408" spans="1:8">
      <c r="A408" s="28" t="b">
        <f t="shared" si="56"/>
        <v>0</v>
      </c>
      <c r="B408" s="28" t="e">
        <f t="shared" si="49"/>
        <v>#N/A</v>
      </c>
      <c r="C408" s="29" t="e">
        <f t="shared" si="50"/>
        <v>#N/A</v>
      </c>
      <c r="D408" s="29" t="e">
        <f t="shared" si="51"/>
        <v>#N/A</v>
      </c>
      <c r="E408" s="29" t="b">
        <f t="shared" si="52"/>
        <v>0</v>
      </c>
      <c r="F408" s="29" t="e">
        <f t="shared" si="53"/>
        <v>#N/A</v>
      </c>
      <c r="G408" s="29" t="e">
        <f t="shared" si="54"/>
        <v>#N/A</v>
      </c>
      <c r="H408" s="29" t="b">
        <f t="shared" si="55"/>
        <v>0</v>
      </c>
    </row>
    <row r="409" spans="1:8">
      <c r="A409" s="28" t="b">
        <f t="shared" si="56"/>
        <v>0</v>
      </c>
      <c r="B409" s="28" t="e">
        <f t="shared" si="49"/>
        <v>#N/A</v>
      </c>
      <c r="C409" s="29" t="e">
        <f t="shared" si="50"/>
        <v>#N/A</v>
      </c>
      <c r="D409" s="29" t="e">
        <f t="shared" si="51"/>
        <v>#N/A</v>
      </c>
      <c r="E409" s="29" t="b">
        <f t="shared" si="52"/>
        <v>0</v>
      </c>
      <c r="F409" s="29" t="e">
        <f t="shared" si="53"/>
        <v>#N/A</v>
      </c>
      <c r="G409" s="29" t="e">
        <f t="shared" si="54"/>
        <v>#N/A</v>
      </c>
      <c r="H409" s="29" t="b">
        <f t="shared" si="55"/>
        <v>0</v>
      </c>
    </row>
    <row r="410" spans="1:8">
      <c r="A410" s="28" t="b">
        <f t="shared" si="56"/>
        <v>0</v>
      </c>
      <c r="B410" s="28" t="e">
        <f t="shared" si="49"/>
        <v>#N/A</v>
      </c>
      <c r="C410" s="29" t="e">
        <f t="shared" si="50"/>
        <v>#N/A</v>
      </c>
      <c r="D410" s="29" t="e">
        <f t="shared" si="51"/>
        <v>#N/A</v>
      </c>
      <c r="E410" s="29" t="b">
        <f t="shared" si="52"/>
        <v>0</v>
      </c>
      <c r="F410" s="29" t="e">
        <f t="shared" si="53"/>
        <v>#N/A</v>
      </c>
      <c r="G410" s="29" t="e">
        <f t="shared" si="54"/>
        <v>#N/A</v>
      </c>
      <c r="H410" s="29" t="b">
        <f t="shared" si="55"/>
        <v>0</v>
      </c>
    </row>
    <row r="411" spans="1:8">
      <c r="A411" s="28" t="b">
        <f t="shared" si="56"/>
        <v>0</v>
      </c>
      <c r="B411" s="28" t="e">
        <f t="shared" si="49"/>
        <v>#N/A</v>
      </c>
      <c r="C411" s="29" t="e">
        <f t="shared" si="50"/>
        <v>#N/A</v>
      </c>
      <c r="D411" s="29" t="e">
        <f t="shared" si="51"/>
        <v>#N/A</v>
      </c>
      <c r="E411" s="29" t="b">
        <f t="shared" si="52"/>
        <v>0</v>
      </c>
      <c r="F411" s="29" t="e">
        <f t="shared" si="53"/>
        <v>#N/A</v>
      </c>
      <c r="G411" s="29" t="e">
        <f t="shared" si="54"/>
        <v>#N/A</v>
      </c>
      <c r="H411" s="29" t="b">
        <f t="shared" si="55"/>
        <v>0</v>
      </c>
    </row>
    <row r="412" spans="1:8">
      <c r="A412" s="28" t="b">
        <f t="shared" si="56"/>
        <v>0</v>
      </c>
      <c r="B412" s="28" t="e">
        <f t="shared" si="49"/>
        <v>#N/A</v>
      </c>
      <c r="C412" s="29" t="e">
        <f t="shared" si="50"/>
        <v>#N/A</v>
      </c>
      <c r="D412" s="29" t="e">
        <f t="shared" si="51"/>
        <v>#N/A</v>
      </c>
      <c r="E412" s="29" t="b">
        <f t="shared" si="52"/>
        <v>0</v>
      </c>
      <c r="F412" s="29" t="e">
        <f t="shared" si="53"/>
        <v>#N/A</v>
      </c>
      <c r="G412" s="29" t="e">
        <f t="shared" si="54"/>
        <v>#N/A</v>
      </c>
      <c r="H412" s="29" t="b">
        <f t="shared" si="55"/>
        <v>0</v>
      </c>
    </row>
    <row r="413" spans="1:8">
      <c r="A413" s="28" t="b">
        <f t="shared" si="56"/>
        <v>0</v>
      </c>
      <c r="B413" s="28" t="e">
        <f t="shared" si="49"/>
        <v>#N/A</v>
      </c>
      <c r="C413" s="29" t="e">
        <f t="shared" si="50"/>
        <v>#N/A</v>
      </c>
      <c r="D413" s="29" t="e">
        <f t="shared" si="51"/>
        <v>#N/A</v>
      </c>
      <c r="E413" s="29" t="b">
        <f t="shared" si="52"/>
        <v>0</v>
      </c>
      <c r="F413" s="29" t="e">
        <f t="shared" si="53"/>
        <v>#N/A</v>
      </c>
      <c r="G413" s="29" t="e">
        <f t="shared" si="54"/>
        <v>#N/A</v>
      </c>
      <c r="H413" s="29" t="b">
        <f t="shared" si="55"/>
        <v>0</v>
      </c>
    </row>
    <row r="414" spans="1:8">
      <c r="A414" s="28" t="b">
        <f t="shared" si="56"/>
        <v>0</v>
      </c>
      <c r="B414" s="28" t="e">
        <f t="shared" si="49"/>
        <v>#N/A</v>
      </c>
      <c r="C414" s="29" t="e">
        <f t="shared" si="50"/>
        <v>#N/A</v>
      </c>
      <c r="D414" s="29" t="e">
        <f t="shared" si="51"/>
        <v>#N/A</v>
      </c>
      <c r="E414" s="29" t="b">
        <f t="shared" si="52"/>
        <v>0</v>
      </c>
      <c r="F414" s="29" t="e">
        <f t="shared" si="53"/>
        <v>#N/A</v>
      </c>
      <c r="G414" s="29" t="e">
        <f t="shared" si="54"/>
        <v>#N/A</v>
      </c>
      <c r="H414" s="29" t="b">
        <f t="shared" si="55"/>
        <v>0</v>
      </c>
    </row>
    <row r="416" spans="1:8">
      <c r="D416" s="29" t="s">
        <v>242</v>
      </c>
      <c r="E416" s="29" t="e" vm="1">
        <f>SUM(E365:E414)</f>
        <v>#VALUE!</v>
      </c>
      <c r="G416" s="29" t="s">
        <v>243</v>
      </c>
      <c r="H416" s="29" t="e" vm="1">
        <f>SUM(H365:H414)</f>
        <v>#VALUE!</v>
      </c>
    </row>
  </sheetData>
  <phoneticPr fontId="10" type="noConversion"/>
  <printOptions horizontalCentered="1" verticalCentered="1"/>
  <pageMargins left="0.5" right="0.5" top="0.5" bottom="0.5" header="0.5" footer="0.5"/>
  <pageSetup scale="75" fitToWidth="3" fitToHeight="3" orientation="portrait" horizontalDpi="300"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3"/>
  <sheetViews>
    <sheetView showGridLines="0" topLeftCell="A2" zoomScaleNormal="110" workbookViewId="0">
      <selection activeCell="S7" sqref="S7"/>
    </sheetView>
  </sheetViews>
  <sheetFormatPr defaultColWidth="9.109375" defaultRowHeight="13.2"/>
  <cols>
    <col min="1" max="1" width="0.88671875" style="3" customWidth="1"/>
    <col min="2" max="2" width="8" style="3" customWidth="1"/>
    <col min="3" max="4" width="9.6640625" style="3" customWidth="1"/>
    <col min="5" max="5" width="17" style="3" customWidth="1"/>
    <col min="6" max="6" width="16.6640625" style="3" customWidth="1"/>
    <col min="7" max="7" width="15.5546875" style="3" customWidth="1"/>
    <col min="8" max="8" width="16.109375" style="3" customWidth="1"/>
    <col min="9" max="9" width="14.33203125" style="3" customWidth="1"/>
    <col min="10" max="10" width="16.33203125" style="3" customWidth="1"/>
    <col min="11" max="11" width="12.88671875" style="3" customWidth="1"/>
    <col min="12" max="12" width="6" style="3" customWidth="1"/>
    <col min="13" max="13" width="4.44140625" style="3" customWidth="1"/>
    <col min="14" max="15" width="11.33203125" style="3" customWidth="1"/>
    <col min="16" max="16" width="10.88671875" style="3" customWidth="1"/>
    <col min="17" max="16384" width="9.109375" style="3"/>
  </cols>
  <sheetData>
    <row r="1" spans="1:16" ht="3" customHeight="1"/>
    <row r="2" spans="1:16" ht="57" customHeight="1">
      <c r="B2" s="394" t="s">
        <v>256</v>
      </c>
      <c r="C2" s="395"/>
      <c r="D2" s="396"/>
      <c r="E2" s="356" t="s">
        <v>272</v>
      </c>
      <c r="F2" s="357"/>
      <c r="G2" s="357"/>
      <c r="H2" s="357"/>
      <c r="I2" s="357"/>
      <c r="J2" s="357"/>
      <c r="K2" s="357"/>
      <c r="L2" s="358"/>
      <c r="M2" s="391" t="s">
        <v>436</v>
      </c>
      <c r="N2" s="391"/>
      <c r="O2" s="391"/>
      <c r="P2" s="389" t="s">
        <v>270</v>
      </c>
    </row>
    <row r="3" spans="1:16" ht="12.75" customHeight="1">
      <c r="B3" s="397"/>
      <c r="C3" s="398"/>
      <c r="D3" s="399"/>
      <c r="E3" s="359"/>
      <c r="F3" s="360"/>
      <c r="G3" s="360"/>
      <c r="H3" s="360"/>
      <c r="I3" s="360"/>
      <c r="J3" s="360"/>
      <c r="K3" s="360"/>
      <c r="L3" s="361"/>
      <c r="M3" s="391"/>
      <c r="N3" s="391"/>
      <c r="O3" s="391"/>
      <c r="P3" s="390"/>
    </row>
    <row r="4" spans="1:16" s="67" customFormat="1" ht="15" customHeight="1" thickBot="1">
      <c r="A4" s="68"/>
      <c r="B4" s="371" t="s">
        <v>275</v>
      </c>
      <c r="C4" s="371"/>
      <c r="D4" s="371"/>
      <c r="E4" s="371"/>
      <c r="F4" s="371"/>
      <c r="G4" s="137"/>
      <c r="H4" s="137"/>
      <c r="I4" s="137"/>
      <c r="J4" s="112"/>
      <c r="K4" s="112"/>
      <c r="L4" s="100"/>
      <c r="M4" s="112"/>
      <c r="N4" s="102"/>
      <c r="O4" s="140"/>
      <c r="P4" s="140"/>
    </row>
    <row r="5" spans="1:16" ht="13.8" thickBot="1">
      <c r="B5" s="336" t="s">
        <v>6</v>
      </c>
      <c r="C5" s="336"/>
      <c r="D5" s="392" t="s">
        <v>18</v>
      </c>
      <c r="E5" s="392"/>
      <c r="F5" s="392"/>
      <c r="G5" s="218"/>
      <c r="H5" s="218"/>
      <c r="I5" s="218"/>
      <c r="J5" s="218"/>
      <c r="K5" s="218"/>
      <c r="L5" s="218"/>
      <c r="M5" s="218"/>
      <c r="N5" s="218"/>
      <c r="O5" s="218"/>
      <c r="P5" s="218"/>
    </row>
    <row r="6" spans="1:16" ht="18" customHeight="1" thickBot="1">
      <c r="B6" s="381" t="s">
        <v>8</v>
      </c>
      <c r="C6" s="374" t="s">
        <v>9</v>
      </c>
      <c r="D6" s="339" t="s">
        <v>314</v>
      </c>
      <c r="E6" s="374" t="s">
        <v>316</v>
      </c>
      <c r="F6" s="374" t="s">
        <v>317</v>
      </c>
      <c r="G6" s="372" t="s">
        <v>304</v>
      </c>
      <c r="H6" s="406" t="s">
        <v>308</v>
      </c>
      <c r="I6" s="407"/>
      <c r="J6" s="408"/>
      <c r="K6" s="411" t="s">
        <v>409</v>
      </c>
      <c r="L6" s="412"/>
      <c r="M6" s="413"/>
      <c r="N6" s="400" t="s">
        <v>22</v>
      </c>
      <c r="O6" s="367" t="s">
        <v>305</v>
      </c>
      <c r="P6" s="368"/>
    </row>
    <row r="7" spans="1:16" ht="26.25" customHeight="1" thickBot="1">
      <c r="B7" s="382"/>
      <c r="C7" s="375"/>
      <c r="D7" s="366"/>
      <c r="E7" s="375"/>
      <c r="F7" s="375"/>
      <c r="G7" s="373"/>
      <c r="H7" s="222" t="s">
        <v>20</v>
      </c>
      <c r="I7" s="222" t="s">
        <v>19</v>
      </c>
      <c r="J7" s="222" t="s">
        <v>21</v>
      </c>
      <c r="K7" s="414"/>
      <c r="L7" s="415"/>
      <c r="M7" s="416"/>
      <c r="N7" s="401"/>
      <c r="O7" s="369"/>
      <c r="P7" s="370"/>
    </row>
    <row r="8" spans="1:16" ht="30" customHeight="1">
      <c r="B8" s="219">
        <v>1</v>
      </c>
      <c r="C8" s="220"/>
      <c r="D8" s="220"/>
      <c r="E8" s="220"/>
      <c r="F8" s="219"/>
      <c r="G8" s="221"/>
      <c r="H8" s="52"/>
      <c r="I8" s="52"/>
      <c r="J8" s="52"/>
      <c r="K8" s="348"/>
      <c r="L8" s="409"/>
      <c r="M8" s="410"/>
      <c r="N8" s="219"/>
      <c r="O8" s="405"/>
      <c r="P8" s="405"/>
    </row>
    <row r="9" spans="1:16" ht="30" customHeight="1">
      <c r="B9" s="142">
        <v>2</v>
      </c>
      <c r="C9" s="205"/>
      <c r="D9" s="205"/>
      <c r="E9" s="205"/>
      <c r="F9" s="142"/>
      <c r="G9" s="206"/>
      <c r="H9" s="53"/>
      <c r="I9" s="53"/>
      <c r="J9" s="53"/>
      <c r="K9" s="325"/>
      <c r="L9" s="326"/>
      <c r="M9" s="327"/>
      <c r="N9" s="142"/>
      <c r="O9" s="383"/>
      <c r="P9" s="383"/>
    </row>
    <row r="10" spans="1:16" ht="30" customHeight="1">
      <c r="B10" s="142">
        <v>3</v>
      </c>
      <c r="C10" s="205"/>
      <c r="D10" s="205"/>
      <c r="E10" s="205"/>
      <c r="F10" s="142"/>
      <c r="G10" s="206"/>
      <c r="H10" s="53"/>
      <c r="I10" s="53"/>
      <c r="J10" s="53"/>
      <c r="K10" s="325"/>
      <c r="L10" s="326"/>
      <c r="M10" s="327"/>
      <c r="N10" s="142"/>
      <c r="O10" s="383"/>
      <c r="P10" s="383"/>
    </row>
    <row r="11" spans="1:16" ht="30" customHeight="1">
      <c r="B11" s="142">
        <v>4</v>
      </c>
      <c r="C11" s="205"/>
      <c r="D11" s="205"/>
      <c r="E11" s="205"/>
      <c r="F11" s="142"/>
      <c r="G11" s="206"/>
      <c r="H11" s="53"/>
      <c r="I11" s="53"/>
      <c r="J11" s="53"/>
      <c r="K11" s="325"/>
      <c r="L11" s="326"/>
      <c r="M11" s="327"/>
      <c r="N11" s="142"/>
      <c r="O11" s="383"/>
      <c r="P11" s="383"/>
    </row>
    <row r="12" spans="1:16" ht="30" customHeight="1">
      <c r="B12" s="142">
        <v>5</v>
      </c>
      <c r="C12" s="205"/>
      <c r="D12" s="205"/>
      <c r="E12" s="205"/>
      <c r="F12" s="142"/>
      <c r="G12" s="206"/>
      <c r="H12" s="53"/>
      <c r="I12" s="53"/>
      <c r="J12" s="53"/>
      <c r="K12" s="325"/>
      <c r="L12" s="326"/>
      <c r="M12" s="327"/>
      <c r="N12" s="142"/>
      <c r="O12" s="383"/>
      <c r="P12" s="383"/>
    </row>
    <row r="13" spans="1:16" ht="30" customHeight="1">
      <c r="B13" s="142">
        <v>6</v>
      </c>
      <c r="C13" s="205"/>
      <c r="D13" s="205"/>
      <c r="E13" s="205"/>
      <c r="F13" s="142"/>
      <c r="G13" s="206"/>
      <c r="H13" s="53"/>
      <c r="I13" s="53"/>
      <c r="J13" s="53"/>
      <c r="K13" s="325"/>
      <c r="L13" s="326"/>
      <c r="M13" s="327"/>
      <c r="N13" s="142"/>
      <c r="O13" s="383"/>
      <c r="P13" s="383"/>
    </row>
    <row r="14" spans="1:16" ht="30" customHeight="1">
      <c r="B14" s="142">
        <v>7</v>
      </c>
      <c r="C14" s="142"/>
      <c r="D14" s="142"/>
      <c r="E14" s="142"/>
      <c r="F14" s="142"/>
      <c r="G14" s="206"/>
      <c r="H14" s="53"/>
      <c r="I14" s="53"/>
      <c r="J14" s="53"/>
      <c r="K14" s="325"/>
      <c r="L14" s="326"/>
      <c r="M14" s="327"/>
      <c r="N14" s="142"/>
      <c r="O14" s="383"/>
      <c r="P14" s="383"/>
    </row>
    <row r="15" spans="1:16" ht="30" customHeight="1">
      <c r="B15" s="142">
        <v>8</v>
      </c>
      <c r="C15" s="142"/>
      <c r="D15" s="142"/>
      <c r="E15" s="142"/>
      <c r="F15" s="142"/>
      <c r="G15" s="206"/>
      <c r="H15" s="53"/>
      <c r="I15" s="53"/>
      <c r="J15" s="53"/>
      <c r="K15" s="325"/>
      <c r="L15" s="326"/>
      <c r="M15" s="327"/>
      <c r="N15" s="142"/>
      <c r="O15" s="383"/>
      <c r="P15" s="383"/>
    </row>
    <row r="16" spans="1:16" ht="22.5" customHeight="1" thickBot="1">
      <c r="B16" s="393" t="s">
        <v>309</v>
      </c>
      <c r="C16" s="393"/>
      <c r="D16" s="393"/>
      <c r="E16" s="393"/>
      <c r="F16" s="393"/>
      <c r="G16" s="393"/>
      <c r="H16" s="393"/>
      <c r="I16" s="393"/>
      <c r="J16" s="393"/>
      <c r="K16" s="393"/>
      <c r="L16" s="393"/>
      <c r="M16" s="393"/>
      <c r="N16" s="393"/>
      <c r="O16" s="393"/>
      <c r="P16" s="393"/>
    </row>
    <row r="17" spans="2:16">
      <c r="B17" s="313" t="s">
        <v>11</v>
      </c>
      <c r="C17" s="313"/>
      <c r="D17" s="313"/>
      <c r="E17" s="313"/>
      <c r="F17" s="313"/>
      <c r="G17" s="313"/>
      <c r="H17" s="313"/>
      <c r="I17" s="313"/>
      <c r="J17" s="313"/>
      <c r="K17" s="313"/>
      <c r="L17" s="313"/>
      <c r="M17" s="313"/>
      <c r="N17" s="313"/>
      <c r="O17" s="313"/>
      <c r="P17" s="313"/>
    </row>
    <row r="18" spans="2:16" ht="55.5" customHeight="1" thickBot="1">
      <c r="B18" s="353"/>
      <c r="C18" s="353"/>
      <c r="D18" s="353"/>
      <c r="E18" s="353"/>
      <c r="F18" s="353"/>
      <c r="G18" s="353"/>
      <c r="H18" s="353"/>
      <c r="I18" s="353"/>
      <c r="J18" s="353"/>
      <c r="K18" s="353"/>
      <c r="L18" s="353"/>
      <c r="M18" s="353"/>
      <c r="N18" s="353"/>
      <c r="O18" s="353"/>
      <c r="P18" s="353"/>
    </row>
    <row r="19" spans="2:16" ht="13.5" customHeight="1" thickBot="1">
      <c r="B19" s="377" t="s">
        <v>412</v>
      </c>
      <c r="C19" s="377"/>
      <c r="D19" s="377"/>
      <c r="E19" s="377"/>
      <c r="F19" s="377"/>
      <c r="G19" s="377"/>
      <c r="H19" s="377"/>
      <c r="I19" s="377"/>
      <c r="J19" s="377"/>
      <c r="K19" s="377"/>
      <c r="L19" s="377"/>
      <c r="M19" s="377"/>
      <c r="N19" s="377"/>
      <c r="O19" s="378"/>
      <c r="P19" s="378"/>
    </row>
    <row r="20" spans="2:16" ht="49.5" customHeight="1">
      <c r="B20" s="378" t="s">
        <v>315</v>
      </c>
      <c r="C20" s="378"/>
      <c r="D20" s="378"/>
      <c r="E20" s="378"/>
      <c r="F20" s="387"/>
      <c r="G20" s="216" t="s">
        <v>306</v>
      </c>
      <c r="H20" s="216" t="s">
        <v>408</v>
      </c>
      <c r="I20" s="216" t="s">
        <v>407</v>
      </c>
      <c r="J20" s="216" t="s">
        <v>406</v>
      </c>
      <c r="K20" s="216" t="s">
        <v>313</v>
      </c>
      <c r="L20" s="385" t="s">
        <v>312</v>
      </c>
      <c r="M20" s="386"/>
      <c r="N20" s="217" t="s">
        <v>311</v>
      </c>
      <c r="O20" s="379" t="s">
        <v>310</v>
      </c>
      <c r="P20" s="379"/>
    </row>
    <row r="21" spans="2:16" ht="38.25" customHeight="1">
      <c r="B21" s="376"/>
      <c r="C21" s="376"/>
      <c r="D21" s="376"/>
      <c r="E21" s="376"/>
      <c r="F21" s="376"/>
      <c r="G21" s="142"/>
      <c r="H21" s="142"/>
      <c r="I21" s="142"/>
      <c r="J21" s="142">
        <f>I21+G21</f>
        <v>0</v>
      </c>
      <c r="K21" s="142"/>
      <c r="L21" s="380"/>
      <c r="M21" s="380"/>
      <c r="N21" s="141"/>
      <c r="O21" s="388"/>
      <c r="P21" s="388"/>
    </row>
    <row r="22" spans="2:16" ht="12.75" customHeight="1">
      <c r="B22" s="384" t="s">
        <v>281</v>
      </c>
      <c r="C22" s="384"/>
      <c r="D22" s="384"/>
      <c r="E22" s="384"/>
      <c r="F22" s="384"/>
      <c r="G22" s="384"/>
      <c r="H22" s="384"/>
      <c r="I22" s="384"/>
      <c r="J22" s="384"/>
      <c r="K22" s="384"/>
      <c r="L22" s="384"/>
      <c r="M22" s="384"/>
      <c r="N22" s="384"/>
      <c r="O22" s="384"/>
      <c r="P22" s="384"/>
    </row>
    <row r="23" spans="2:16" ht="66.75" customHeight="1" thickBot="1">
      <c r="B23" s="312"/>
      <c r="C23" s="312"/>
      <c r="D23" s="312"/>
      <c r="E23" s="312"/>
      <c r="F23" s="312"/>
      <c r="G23" s="312"/>
      <c r="H23" s="312"/>
      <c r="I23" s="312"/>
      <c r="J23" s="312"/>
      <c r="K23" s="312"/>
      <c r="L23" s="312"/>
      <c r="M23" s="312"/>
      <c r="N23" s="312"/>
      <c r="O23" s="312"/>
      <c r="P23" s="312"/>
    </row>
    <row r="24" spans="2:16" ht="12.75" customHeight="1">
      <c r="B24" s="313" t="s">
        <v>13</v>
      </c>
      <c r="C24" s="313"/>
      <c r="D24" s="313"/>
      <c r="E24" s="313"/>
      <c r="F24" s="313"/>
      <c r="G24" s="313"/>
      <c r="H24" s="313"/>
      <c r="I24" s="313"/>
      <c r="J24" s="313"/>
      <c r="K24" s="313"/>
      <c r="L24" s="313"/>
      <c r="M24" s="313"/>
      <c r="N24" s="313"/>
      <c r="O24" s="313"/>
      <c r="P24" s="313"/>
    </row>
    <row r="25" spans="2:16" ht="61.5" customHeight="1" thickBot="1">
      <c r="B25" s="310"/>
      <c r="C25" s="310"/>
      <c r="D25" s="310"/>
      <c r="E25" s="310"/>
      <c r="F25" s="310"/>
      <c r="G25" s="310"/>
      <c r="H25" s="310"/>
      <c r="I25" s="310"/>
      <c r="J25" s="310"/>
      <c r="K25" s="310"/>
      <c r="L25" s="310"/>
      <c r="M25" s="310"/>
      <c r="N25" s="310"/>
      <c r="O25" s="310"/>
      <c r="P25" s="310"/>
    </row>
    <row r="26" spans="2:16" ht="12.75" customHeight="1">
      <c r="B26" s="313" t="s">
        <v>301</v>
      </c>
      <c r="C26" s="313"/>
      <c r="D26" s="313"/>
      <c r="E26" s="313"/>
      <c r="F26" s="313"/>
      <c r="G26" s="313"/>
      <c r="H26" s="313"/>
      <c r="I26" s="313"/>
      <c r="J26" s="313"/>
      <c r="K26" s="313"/>
      <c r="L26" s="313"/>
      <c r="M26" s="313"/>
      <c r="N26" s="313"/>
      <c r="O26" s="313"/>
      <c r="P26" s="313"/>
    </row>
    <row r="27" spans="2:16" ht="63" customHeight="1" thickBot="1">
      <c r="B27" s="311"/>
      <c r="C27" s="311"/>
      <c r="D27" s="311"/>
      <c r="E27" s="311"/>
      <c r="F27" s="311"/>
      <c r="G27" s="311"/>
      <c r="H27" s="311"/>
      <c r="I27" s="311"/>
      <c r="J27" s="311"/>
      <c r="K27" s="311"/>
      <c r="L27" s="311"/>
      <c r="M27" s="311"/>
      <c r="N27" s="311"/>
      <c r="O27" s="311"/>
      <c r="P27" s="311"/>
    </row>
    <row r="28" spans="2:16" ht="12.75" customHeight="1">
      <c r="B28" s="313" t="s">
        <v>302</v>
      </c>
      <c r="C28" s="313"/>
      <c r="D28" s="313"/>
      <c r="E28" s="313"/>
      <c r="F28" s="313"/>
      <c r="G28" s="313"/>
      <c r="H28" s="313"/>
      <c r="I28" s="313"/>
      <c r="J28" s="313"/>
      <c r="K28" s="313"/>
      <c r="L28" s="313"/>
      <c r="M28" s="313"/>
      <c r="N28" s="313"/>
      <c r="O28" s="313"/>
      <c r="P28" s="313"/>
    </row>
    <row r="29" spans="2:16" ht="64.5" customHeight="1" thickBot="1">
      <c r="B29" s="310"/>
      <c r="C29" s="310"/>
      <c r="D29" s="310"/>
      <c r="E29" s="310"/>
      <c r="F29" s="310"/>
      <c r="G29" s="310"/>
      <c r="H29" s="310"/>
      <c r="I29" s="310"/>
      <c r="J29" s="310"/>
      <c r="K29" s="310"/>
      <c r="L29" s="310"/>
      <c r="M29" s="310"/>
      <c r="N29" s="310"/>
      <c r="O29" s="310"/>
      <c r="P29" s="310"/>
    </row>
    <row r="30" spans="2:16" ht="12.75" customHeight="1">
      <c r="B30" s="313" t="s">
        <v>14</v>
      </c>
      <c r="C30" s="313"/>
      <c r="D30" s="313"/>
      <c r="E30" s="313"/>
      <c r="F30" s="313"/>
      <c r="G30" s="313"/>
      <c r="H30" s="313"/>
      <c r="I30" s="313"/>
      <c r="J30" s="313"/>
      <c r="K30" s="313"/>
      <c r="L30" s="313"/>
      <c r="M30" s="313"/>
      <c r="N30" s="313"/>
      <c r="O30" s="313"/>
      <c r="P30" s="313"/>
    </row>
    <row r="31" spans="2:16" ht="15.75" customHeight="1">
      <c r="B31" s="402" t="s">
        <v>15</v>
      </c>
      <c r="C31" s="403"/>
      <c r="D31" s="403"/>
      <c r="E31" s="403"/>
      <c r="F31" s="404"/>
      <c r="G31" s="402" t="s">
        <v>16</v>
      </c>
      <c r="H31" s="403"/>
      <c r="I31" s="403"/>
      <c r="J31" s="403"/>
      <c r="K31" s="404"/>
      <c r="L31" s="402" t="s">
        <v>17</v>
      </c>
      <c r="M31" s="403"/>
      <c r="N31" s="403"/>
      <c r="O31" s="403"/>
      <c r="P31" s="404"/>
    </row>
    <row r="32" spans="2:16" ht="70.5" customHeight="1">
      <c r="B32" s="383"/>
      <c r="C32" s="383"/>
      <c r="D32" s="383"/>
      <c r="E32" s="383"/>
      <c r="F32" s="383"/>
      <c r="G32" s="383"/>
      <c r="H32" s="383"/>
      <c r="I32" s="383"/>
      <c r="J32" s="383"/>
      <c r="K32" s="383"/>
      <c r="L32" s="383"/>
      <c r="M32" s="383"/>
      <c r="N32" s="383"/>
      <c r="O32" s="383"/>
      <c r="P32" s="383"/>
    </row>
    <row r="33" spans="2:16">
      <c r="B33" s="4"/>
      <c r="C33" s="4"/>
      <c r="D33" s="4"/>
      <c r="E33" s="4"/>
      <c r="F33" s="5"/>
      <c r="G33" s="5"/>
      <c r="H33" s="5"/>
      <c r="I33" s="5"/>
      <c r="J33" s="5"/>
      <c r="K33" s="6"/>
      <c r="L33" s="4"/>
      <c r="M33" s="4"/>
      <c r="N33" s="4"/>
      <c r="O33" s="4"/>
      <c r="P33" s="4"/>
    </row>
  </sheetData>
  <mergeCells count="58">
    <mergeCell ref="L32:P32"/>
    <mergeCell ref="G32:K32"/>
    <mergeCell ref="B32:F32"/>
    <mergeCell ref="H6:J6"/>
    <mergeCell ref="K8:M8"/>
    <mergeCell ref="K13:M13"/>
    <mergeCell ref="K14:M14"/>
    <mergeCell ref="K15:M15"/>
    <mergeCell ref="K6:M7"/>
    <mergeCell ref="B31:F31"/>
    <mergeCell ref="G31:K31"/>
    <mergeCell ref="L31:P31"/>
    <mergeCell ref="E2:L3"/>
    <mergeCell ref="O10:P10"/>
    <mergeCell ref="K9:M9"/>
    <mergeCell ref="K10:M10"/>
    <mergeCell ref="K11:M11"/>
    <mergeCell ref="K12:M12"/>
    <mergeCell ref="O8:P8"/>
    <mergeCell ref="O9:P9"/>
    <mergeCell ref="P2:P3"/>
    <mergeCell ref="M2:O3"/>
    <mergeCell ref="D5:F5"/>
    <mergeCell ref="B16:P16"/>
    <mergeCell ref="B5:C5"/>
    <mergeCell ref="O13:P13"/>
    <mergeCell ref="O14:P14"/>
    <mergeCell ref="O15:P15"/>
    <mergeCell ref="B2:D3"/>
    <mergeCell ref="N6:N7"/>
    <mergeCell ref="B25:P25"/>
    <mergeCell ref="B26:P26"/>
    <mergeCell ref="B6:B7"/>
    <mergeCell ref="C6:C7"/>
    <mergeCell ref="E6:E7"/>
    <mergeCell ref="O12:P12"/>
    <mergeCell ref="B17:P17"/>
    <mergeCell ref="B22:P22"/>
    <mergeCell ref="L20:M20"/>
    <mergeCell ref="B20:F20"/>
    <mergeCell ref="O21:P21"/>
    <mergeCell ref="O11:P11"/>
    <mergeCell ref="D6:D7"/>
    <mergeCell ref="O6:P7"/>
    <mergeCell ref="B29:P29"/>
    <mergeCell ref="B30:P30"/>
    <mergeCell ref="B4:F4"/>
    <mergeCell ref="G6:G7"/>
    <mergeCell ref="F6:F7"/>
    <mergeCell ref="B21:F21"/>
    <mergeCell ref="B19:P19"/>
    <mergeCell ref="O20:P20"/>
    <mergeCell ref="B27:P27"/>
    <mergeCell ref="B28:P28"/>
    <mergeCell ref="L21:M21"/>
    <mergeCell ref="B18:P18"/>
    <mergeCell ref="B23:P23"/>
    <mergeCell ref="B24:P24"/>
  </mergeCells>
  <phoneticPr fontId="2" type="noConversion"/>
  <dataValidations count="1">
    <dataValidation type="list" allowBlank="1" showInputMessage="1" showErrorMessage="1" sqref="G8:G15" xr:uid="{00000000-0002-0000-0300-000000000000}">
      <formula1>"Para ambientes internos sem carga solar direta, Para ambientes externos sem carga solar direta, Para ambientes externos com carga solar direta"</formula1>
    </dataValidation>
  </dataValidations>
  <pageMargins left="0.39370078740157483" right="0.39370078740157483" top="0.51181102362204722" bottom="0.51181102362204722" header="0.51181102362204722" footer="0.51181102362204722"/>
  <pageSetup paperSize="9" orientation="portrait" r:id="rId1"/>
  <headerFooter alignWithMargins="0">
    <oddFooter>&amp;RRevisão: 00          
11.06.2012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14999847407452621"/>
  </sheetPr>
  <dimension ref="A1:U33"/>
  <sheetViews>
    <sheetView showGridLines="0" topLeftCell="B6" zoomScaleNormal="100" workbookViewId="0">
      <selection activeCell="X13" sqref="X13"/>
    </sheetView>
  </sheetViews>
  <sheetFormatPr defaultRowHeight="13.2"/>
  <cols>
    <col min="1" max="1" width="0.6640625" customWidth="1"/>
    <col min="2" max="2" width="4.6640625" customWidth="1"/>
    <col min="3" max="3" width="9.5546875" customWidth="1"/>
    <col min="4" max="4" width="9" customWidth="1"/>
    <col min="5" max="5" width="9.33203125" customWidth="1"/>
    <col min="6" max="6" width="8.6640625" customWidth="1"/>
    <col min="7" max="7" width="7.88671875" customWidth="1"/>
    <col min="8" max="8" width="8.109375" customWidth="1"/>
    <col min="9" max="11" width="10.33203125" customWidth="1"/>
    <col min="12" max="12" width="10.5546875" customWidth="1"/>
    <col min="13" max="13" width="12.6640625" customWidth="1"/>
    <col min="14" max="14" width="10.33203125" customWidth="1"/>
    <col min="15" max="18" width="10.109375" customWidth="1"/>
    <col min="19" max="19" width="10.6640625" customWidth="1"/>
  </cols>
  <sheetData>
    <row r="1" spans="1:21" ht="4.5" customHeight="1"/>
    <row r="2" spans="1:21" ht="57" customHeight="1">
      <c r="B2" s="440" t="s">
        <v>256</v>
      </c>
      <c r="C2" s="440"/>
      <c r="D2" s="440"/>
      <c r="E2" s="299" t="s">
        <v>273</v>
      </c>
      <c r="F2" s="300"/>
      <c r="G2" s="300"/>
      <c r="H2" s="300"/>
      <c r="I2" s="300"/>
      <c r="J2" s="300"/>
      <c r="K2" s="301"/>
      <c r="L2" s="239" t="s">
        <v>436</v>
      </c>
      <c r="M2" s="239"/>
      <c r="N2" s="239"/>
      <c r="O2" s="441" t="s">
        <v>270</v>
      </c>
      <c r="P2" s="441"/>
      <c r="Q2" s="441"/>
      <c r="R2" s="441"/>
      <c r="S2" s="441"/>
    </row>
    <row r="3" spans="1:21" ht="57" customHeight="1">
      <c r="B3" s="440"/>
      <c r="C3" s="440"/>
      <c r="D3" s="440"/>
      <c r="E3" s="302"/>
      <c r="F3" s="303"/>
      <c r="G3" s="303"/>
      <c r="H3" s="303"/>
      <c r="I3" s="303"/>
      <c r="J3" s="303"/>
      <c r="K3" s="304"/>
      <c r="L3" s="239"/>
      <c r="M3" s="239"/>
      <c r="N3" s="239"/>
      <c r="O3" s="441"/>
      <c r="P3" s="441"/>
      <c r="Q3" s="441"/>
      <c r="R3" s="441"/>
      <c r="S3" s="441"/>
    </row>
    <row r="4" spans="1:21" s="67" customFormat="1" ht="15" customHeight="1" thickBot="1">
      <c r="A4" s="68"/>
      <c r="B4" s="371" t="s">
        <v>275</v>
      </c>
      <c r="C4" s="371"/>
      <c r="D4" s="371"/>
      <c r="E4" s="371"/>
      <c r="F4" s="101"/>
      <c r="G4" s="100"/>
      <c r="H4" s="101"/>
      <c r="I4" s="101"/>
      <c r="J4" s="101"/>
      <c r="K4" s="101"/>
      <c r="L4" s="101"/>
      <c r="M4" s="101"/>
      <c r="N4" s="442"/>
      <c r="O4" s="442"/>
      <c r="P4" s="442"/>
      <c r="Q4" s="442"/>
      <c r="R4" s="442"/>
      <c r="S4" s="442"/>
    </row>
    <row r="5" spans="1:21" ht="13.8" thickBot="1">
      <c r="B5" s="443" t="s">
        <v>6</v>
      </c>
      <c r="C5" s="443"/>
      <c r="D5" s="103" t="s">
        <v>287</v>
      </c>
      <c r="E5" s="103"/>
      <c r="F5" s="103"/>
      <c r="G5" s="103"/>
      <c r="H5" s="103"/>
      <c r="I5" s="103"/>
      <c r="J5" s="103"/>
      <c r="K5" s="103"/>
      <c r="L5" s="103"/>
      <c r="M5" s="103"/>
      <c r="N5" s="103"/>
      <c r="O5" s="103"/>
      <c r="P5" s="103"/>
      <c r="Q5" s="103"/>
      <c r="R5" s="103"/>
      <c r="S5" s="103"/>
    </row>
    <row r="6" spans="1:21" ht="29.25" customHeight="1">
      <c r="B6" s="133" t="s">
        <v>8</v>
      </c>
      <c r="C6" s="133" t="s">
        <v>9</v>
      </c>
      <c r="D6" s="133" t="s">
        <v>10</v>
      </c>
      <c r="E6" s="133" t="s">
        <v>23</v>
      </c>
      <c r="F6" s="441" t="s">
        <v>288</v>
      </c>
      <c r="G6" s="441"/>
      <c r="H6" s="441"/>
      <c r="I6" s="441"/>
      <c r="J6" s="201" t="s">
        <v>376</v>
      </c>
      <c r="K6" s="201" t="s">
        <v>377</v>
      </c>
      <c r="L6" s="201" t="s">
        <v>378</v>
      </c>
      <c r="M6" s="202" t="s">
        <v>379</v>
      </c>
      <c r="N6" s="202" t="s">
        <v>380</v>
      </c>
      <c r="O6" s="203" t="s">
        <v>381</v>
      </c>
      <c r="P6" s="204" t="s">
        <v>382</v>
      </c>
      <c r="Q6" s="204" t="s">
        <v>383</v>
      </c>
      <c r="R6" s="204" t="s">
        <v>384</v>
      </c>
      <c r="S6" s="204" t="s">
        <v>385</v>
      </c>
    </row>
    <row r="7" spans="1:21">
      <c r="B7" s="146">
        <v>1</v>
      </c>
      <c r="C7" s="146"/>
      <c r="D7" s="146"/>
      <c r="E7" s="146"/>
      <c r="F7" s="427"/>
      <c r="G7" s="427"/>
      <c r="H7" s="427"/>
      <c r="I7" s="427"/>
      <c r="J7" s="144"/>
      <c r="K7" s="144"/>
      <c r="L7" s="147"/>
      <c r="M7" s="147"/>
      <c r="N7" s="147"/>
      <c r="O7" s="147"/>
      <c r="P7" s="147"/>
      <c r="Q7" s="147"/>
      <c r="R7" s="147"/>
      <c r="S7" s="147"/>
    </row>
    <row r="8" spans="1:21">
      <c r="B8" s="146">
        <v>2</v>
      </c>
      <c r="C8" s="146"/>
      <c r="D8" s="146"/>
      <c r="E8" s="146"/>
      <c r="F8" s="427"/>
      <c r="G8" s="427"/>
      <c r="H8" s="427"/>
      <c r="I8" s="427"/>
      <c r="J8" s="144"/>
      <c r="K8" s="144"/>
      <c r="L8" s="147"/>
      <c r="M8" s="147"/>
      <c r="N8" s="147"/>
      <c r="O8" s="147"/>
      <c r="P8" s="147"/>
      <c r="Q8" s="147"/>
      <c r="R8" s="147"/>
      <c r="S8" s="147"/>
    </row>
    <row r="9" spans="1:21">
      <c r="B9" s="146">
        <v>3</v>
      </c>
      <c r="C9" s="146"/>
      <c r="D9" s="146"/>
      <c r="E9" s="146"/>
      <c r="F9" s="427"/>
      <c r="G9" s="427"/>
      <c r="H9" s="427"/>
      <c r="I9" s="427"/>
      <c r="J9" s="144"/>
      <c r="K9" s="144"/>
      <c r="L9" s="147"/>
      <c r="M9" s="147"/>
      <c r="N9" s="147"/>
      <c r="O9" s="147"/>
      <c r="P9" s="147"/>
      <c r="Q9" s="147"/>
      <c r="R9" s="147"/>
      <c r="S9" s="147"/>
    </row>
    <row r="10" spans="1:21">
      <c r="B10" s="146">
        <v>4</v>
      </c>
      <c r="C10" s="146"/>
      <c r="D10" s="146"/>
      <c r="E10" s="146"/>
      <c r="F10" s="427"/>
      <c r="G10" s="427"/>
      <c r="H10" s="427"/>
      <c r="I10" s="427"/>
      <c r="J10" s="144"/>
      <c r="K10" s="144"/>
      <c r="L10" s="147"/>
      <c r="M10" s="147"/>
      <c r="N10" s="147"/>
      <c r="O10" s="147"/>
      <c r="P10" s="147"/>
      <c r="Q10" s="147"/>
      <c r="R10" s="147"/>
      <c r="S10" s="147"/>
    </row>
    <row r="11" spans="1:21">
      <c r="B11" s="146">
        <v>5</v>
      </c>
      <c r="C11" s="146"/>
      <c r="D11" s="146"/>
      <c r="E11" s="146"/>
      <c r="F11" s="427"/>
      <c r="G11" s="427"/>
      <c r="H11" s="427"/>
      <c r="I11" s="427"/>
      <c r="J11" s="144"/>
      <c r="K11" s="144"/>
      <c r="L11" s="147"/>
      <c r="M11" s="147"/>
      <c r="N11" s="147"/>
      <c r="O11" s="147"/>
      <c r="P11" s="147"/>
      <c r="Q11" s="147"/>
      <c r="R11" s="147"/>
      <c r="S11" s="147"/>
    </row>
    <row r="12" spans="1:21">
      <c r="B12" s="146">
        <v>6</v>
      </c>
      <c r="C12" s="146"/>
      <c r="D12" s="146"/>
      <c r="E12" s="146"/>
      <c r="F12" s="427"/>
      <c r="G12" s="427"/>
      <c r="H12" s="427"/>
      <c r="I12" s="427"/>
      <c r="J12" s="144"/>
      <c r="K12" s="144"/>
      <c r="L12" s="147"/>
      <c r="M12" s="147"/>
      <c r="N12" s="147"/>
      <c r="O12" s="147"/>
      <c r="P12" s="147"/>
      <c r="Q12" s="147"/>
      <c r="R12" s="147"/>
      <c r="S12" s="147"/>
      <c r="U12" s="128"/>
    </row>
    <row r="13" spans="1:21" ht="24" customHeight="1" thickBot="1">
      <c r="B13" s="438" t="s">
        <v>324</v>
      </c>
      <c r="C13" s="439"/>
      <c r="D13" s="439"/>
      <c r="E13" s="439"/>
      <c r="F13" s="439"/>
      <c r="G13" s="439"/>
      <c r="H13" s="439"/>
      <c r="I13" s="439"/>
      <c r="J13" s="439"/>
      <c r="K13" s="439"/>
      <c r="L13" s="439"/>
      <c r="M13" s="439"/>
      <c r="N13" s="439"/>
      <c r="O13" s="439"/>
      <c r="P13" s="439"/>
      <c r="Q13" s="439"/>
      <c r="R13" s="439"/>
      <c r="S13" s="439"/>
    </row>
    <row r="14" spans="1:21">
      <c r="B14" s="435" t="s">
        <v>11</v>
      </c>
      <c r="C14" s="435"/>
      <c r="D14" s="435"/>
      <c r="E14" s="435"/>
      <c r="F14" s="435"/>
      <c r="G14" s="435"/>
      <c r="H14" s="435"/>
      <c r="I14" s="435"/>
      <c r="J14" s="435"/>
      <c r="K14" s="435"/>
      <c r="L14" s="435"/>
      <c r="M14" s="435"/>
      <c r="N14" s="435"/>
      <c r="O14" s="435"/>
      <c r="P14" s="435"/>
      <c r="Q14" s="435"/>
      <c r="R14" s="435"/>
      <c r="S14" s="435"/>
    </row>
    <row r="15" spans="1:21" ht="55.5" customHeight="1" thickBot="1">
      <c r="B15" s="434"/>
      <c r="C15" s="434"/>
      <c r="D15" s="434"/>
      <c r="E15" s="434"/>
      <c r="F15" s="434"/>
      <c r="G15" s="434"/>
      <c r="H15" s="434"/>
      <c r="I15" s="434"/>
      <c r="J15" s="434"/>
      <c r="K15" s="434"/>
      <c r="L15" s="434"/>
      <c r="M15" s="434"/>
      <c r="N15" s="434"/>
      <c r="O15" s="434"/>
      <c r="P15" s="434"/>
      <c r="Q15" s="434"/>
      <c r="R15" s="434"/>
      <c r="S15" s="434"/>
    </row>
    <row r="16" spans="1:21" s="3" customFormat="1" ht="24" customHeight="1" thickBot="1">
      <c r="B16" s="431" t="s">
        <v>250</v>
      </c>
      <c r="C16" s="348" t="s">
        <v>262</v>
      </c>
      <c r="D16" s="406" t="s">
        <v>410</v>
      </c>
      <c r="E16" s="407"/>
      <c r="F16" s="407"/>
      <c r="G16" s="407"/>
      <c r="H16" s="407"/>
      <c r="I16" s="407"/>
      <c r="J16" s="407"/>
      <c r="K16" s="408"/>
      <c r="L16" s="406" t="s">
        <v>410</v>
      </c>
      <c r="M16" s="407"/>
      <c r="N16" s="407"/>
      <c r="O16" s="407"/>
      <c r="P16" s="407"/>
      <c r="Q16" s="407"/>
      <c r="R16" s="407"/>
      <c r="S16" s="408"/>
    </row>
    <row r="17" spans="2:19" s="3" customFormat="1" ht="39" customHeight="1">
      <c r="B17" s="432"/>
      <c r="C17" s="338"/>
      <c r="D17" s="341" t="s">
        <v>389</v>
      </c>
      <c r="E17" s="341"/>
      <c r="F17" s="341" t="s">
        <v>286</v>
      </c>
      <c r="G17" s="341"/>
      <c r="H17" s="341" t="s">
        <v>285</v>
      </c>
      <c r="I17" s="341"/>
      <c r="J17" s="341" t="s">
        <v>12</v>
      </c>
      <c r="K17" s="341"/>
      <c r="L17" s="213" t="s">
        <v>388</v>
      </c>
      <c r="M17" s="436" t="s">
        <v>386</v>
      </c>
      <c r="N17" s="437"/>
      <c r="O17" s="436" t="s">
        <v>387</v>
      </c>
      <c r="P17" s="437"/>
      <c r="Q17" s="417" t="s">
        <v>12</v>
      </c>
      <c r="R17" s="418"/>
      <c r="S17" s="419"/>
    </row>
    <row r="18" spans="2:19" s="3" customFormat="1" ht="21" customHeight="1">
      <c r="B18" s="57">
        <f>COUNT(L7:L12)</f>
        <v>0</v>
      </c>
      <c r="C18" s="142"/>
      <c r="D18" s="425"/>
      <c r="E18" s="426"/>
      <c r="F18" s="420"/>
      <c r="G18" s="420"/>
      <c r="H18" s="421"/>
      <c r="I18" s="422"/>
      <c r="J18" s="425"/>
      <c r="K18" s="426"/>
      <c r="L18" s="136"/>
      <c r="M18" s="421"/>
      <c r="N18" s="422"/>
      <c r="O18" s="423"/>
      <c r="P18" s="420"/>
      <c r="Q18" s="421"/>
      <c r="R18" s="433"/>
      <c r="S18" s="422"/>
    </row>
    <row r="19" spans="2:19" s="3" customFormat="1" ht="27" customHeight="1">
      <c r="B19" s="428" t="s">
        <v>318</v>
      </c>
      <c r="C19" s="428"/>
      <c r="D19" s="428"/>
      <c r="E19" s="428"/>
      <c r="F19" s="428"/>
      <c r="G19" s="428"/>
      <c r="H19" s="428"/>
      <c r="I19" s="428"/>
      <c r="J19" s="428"/>
      <c r="K19" s="428"/>
      <c r="L19" s="428"/>
      <c r="M19" s="428"/>
      <c r="N19" s="428"/>
      <c r="O19" s="428"/>
      <c r="P19" s="428"/>
      <c r="Q19" s="428"/>
      <c r="R19" s="428"/>
      <c r="S19" s="428"/>
    </row>
    <row r="20" spans="2:19" s="3" customFormat="1" ht="10.5" customHeight="1" thickBot="1">
      <c r="B20" s="429"/>
      <c r="C20" s="429"/>
      <c r="D20" s="429"/>
      <c r="E20" s="429"/>
      <c r="F20" s="429"/>
      <c r="G20" s="429"/>
      <c r="H20" s="429"/>
      <c r="I20" s="429"/>
      <c r="J20" s="429"/>
      <c r="K20" s="429"/>
      <c r="L20" s="429"/>
      <c r="M20" s="429"/>
      <c r="N20" s="429"/>
      <c r="O20" s="429"/>
      <c r="P20" s="429"/>
      <c r="Q20" s="429"/>
      <c r="R20" s="429"/>
      <c r="S20" s="429"/>
    </row>
    <row r="21" spans="2:19" s="3" customFormat="1" ht="12" customHeight="1">
      <c r="B21" s="313" t="s">
        <v>325</v>
      </c>
      <c r="C21" s="313"/>
      <c r="D21" s="313"/>
      <c r="E21" s="313"/>
      <c r="F21" s="313"/>
      <c r="G21" s="313"/>
      <c r="H21" s="313"/>
      <c r="I21" s="313"/>
      <c r="J21" s="313"/>
      <c r="K21" s="313"/>
      <c r="L21" s="313"/>
      <c r="M21" s="313"/>
      <c r="N21" s="313"/>
      <c r="O21" s="313"/>
      <c r="P21" s="313"/>
      <c r="Q21" s="313"/>
      <c r="R21" s="313"/>
      <c r="S21" s="313"/>
    </row>
    <row r="22" spans="2:19" s="3" customFormat="1" ht="40.5" customHeight="1" thickBot="1">
      <c r="B22" s="145"/>
      <c r="C22" s="145"/>
      <c r="D22" s="145"/>
      <c r="E22" s="145"/>
      <c r="F22" s="145"/>
      <c r="G22" s="145"/>
      <c r="H22" s="145"/>
      <c r="I22" s="145"/>
      <c r="J22" s="145"/>
      <c r="K22" s="145"/>
      <c r="L22" s="145"/>
      <c r="M22" s="145"/>
      <c r="N22" s="145"/>
      <c r="O22" s="145"/>
      <c r="P22" s="145"/>
      <c r="Q22" s="145"/>
      <c r="R22" s="145"/>
      <c r="S22" s="145"/>
    </row>
    <row r="23" spans="2:19" ht="15.75" customHeight="1">
      <c r="B23" s="313" t="s">
        <v>281</v>
      </c>
      <c r="C23" s="313"/>
      <c r="D23" s="313"/>
      <c r="E23" s="313"/>
      <c r="F23" s="313"/>
      <c r="G23" s="313"/>
      <c r="H23" s="313"/>
      <c r="I23" s="313"/>
      <c r="J23" s="313"/>
      <c r="K23" s="313"/>
      <c r="L23" s="313"/>
      <c r="M23" s="313"/>
      <c r="N23" s="313"/>
      <c r="O23" s="313"/>
      <c r="P23" s="131"/>
      <c r="Q23" s="131"/>
      <c r="R23" s="131"/>
      <c r="S23" s="131"/>
    </row>
    <row r="24" spans="2:19" ht="42.75" customHeight="1" thickBot="1">
      <c r="B24" s="430"/>
      <c r="C24" s="430"/>
      <c r="D24" s="430"/>
      <c r="E24" s="430"/>
      <c r="F24" s="430"/>
      <c r="G24" s="430"/>
      <c r="H24" s="430"/>
      <c r="I24" s="430"/>
      <c r="J24" s="430"/>
      <c r="K24" s="430"/>
      <c r="L24" s="430"/>
      <c r="M24" s="430"/>
      <c r="N24" s="430"/>
      <c r="O24" s="430"/>
      <c r="P24" s="430"/>
      <c r="Q24" s="430"/>
      <c r="R24" s="430"/>
      <c r="S24" s="430"/>
    </row>
    <row r="25" spans="2:19" ht="12.75" customHeight="1">
      <c r="B25" s="313" t="s">
        <v>13</v>
      </c>
      <c r="C25" s="313"/>
      <c r="D25" s="313"/>
      <c r="E25" s="313"/>
      <c r="F25" s="313"/>
      <c r="G25" s="313"/>
      <c r="H25" s="313"/>
      <c r="I25" s="313"/>
      <c r="J25" s="313"/>
      <c r="K25" s="313"/>
      <c r="L25" s="313"/>
      <c r="M25" s="313"/>
      <c r="N25" s="313"/>
      <c r="O25" s="313"/>
      <c r="P25" s="131"/>
      <c r="Q25" s="131"/>
      <c r="R25" s="131"/>
      <c r="S25" s="131"/>
    </row>
    <row r="26" spans="2:19" ht="54.75" customHeight="1" thickBot="1">
      <c r="B26" s="424"/>
      <c r="C26" s="424"/>
      <c r="D26" s="424"/>
      <c r="E26" s="424"/>
      <c r="F26" s="424"/>
      <c r="G26" s="424"/>
      <c r="H26" s="424"/>
      <c r="I26" s="424"/>
      <c r="J26" s="424"/>
      <c r="K26" s="424"/>
      <c r="L26" s="424"/>
      <c r="M26" s="424"/>
      <c r="N26" s="424"/>
      <c r="O26" s="424"/>
      <c r="P26" s="424"/>
      <c r="Q26" s="424"/>
      <c r="R26" s="424"/>
      <c r="S26" s="424"/>
    </row>
    <row r="27" spans="2:19" ht="12.75" customHeight="1">
      <c r="B27" s="313" t="s">
        <v>301</v>
      </c>
      <c r="C27" s="313"/>
      <c r="D27" s="313"/>
      <c r="E27" s="313"/>
      <c r="F27" s="313"/>
      <c r="G27" s="313"/>
      <c r="H27" s="313"/>
      <c r="I27" s="313"/>
      <c r="J27" s="313"/>
      <c r="K27" s="313"/>
      <c r="L27" s="313"/>
      <c r="M27" s="313"/>
      <c r="N27" s="313"/>
      <c r="O27" s="313"/>
      <c r="P27" s="131"/>
      <c r="Q27" s="131"/>
      <c r="R27" s="131"/>
      <c r="S27" s="131"/>
    </row>
    <row r="28" spans="2:19" ht="50.25" customHeight="1" thickBot="1">
      <c r="B28" s="311"/>
      <c r="C28" s="311"/>
      <c r="D28" s="311"/>
      <c r="E28" s="311"/>
      <c r="F28" s="311"/>
      <c r="G28" s="311"/>
      <c r="H28" s="311"/>
      <c r="I28" s="311"/>
      <c r="J28" s="311"/>
      <c r="K28" s="311"/>
      <c r="L28" s="311"/>
      <c r="M28" s="311"/>
      <c r="N28" s="311"/>
      <c r="O28" s="311"/>
      <c r="P28" s="139"/>
      <c r="Q28" s="139"/>
      <c r="R28" s="139"/>
    </row>
    <row r="29" spans="2:19" ht="12.75" customHeight="1">
      <c r="B29" s="313" t="s">
        <v>302</v>
      </c>
      <c r="C29" s="313"/>
      <c r="D29" s="313"/>
      <c r="E29" s="313"/>
      <c r="F29" s="313"/>
      <c r="G29" s="313"/>
      <c r="H29" s="313"/>
      <c r="I29" s="313"/>
      <c r="J29" s="313"/>
      <c r="K29" s="313"/>
      <c r="L29" s="313"/>
      <c r="M29" s="313"/>
      <c r="N29" s="313"/>
      <c r="O29" s="313"/>
      <c r="P29" s="131"/>
      <c r="Q29" s="131"/>
      <c r="R29" s="131"/>
      <c r="S29" s="131"/>
    </row>
    <row r="30" spans="2:19" ht="51.75" customHeight="1" thickBot="1">
      <c r="B30" s="310"/>
      <c r="C30" s="310"/>
      <c r="D30" s="310"/>
      <c r="E30" s="310"/>
      <c r="F30" s="310"/>
      <c r="G30" s="310"/>
      <c r="H30" s="310"/>
      <c r="I30" s="310"/>
      <c r="J30" s="310"/>
      <c r="K30" s="310"/>
      <c r="L30" s="310"/>
      <c r="M30" s="310"/>
      <c r="N30" s="310"/>
      <c r="O30" s="310"/>
      <c r="P30" s="12"/>
      <c r="Q30" s="12"/>
      <c r="R30" s="12"/>
    </row>
    <row r="31" spans="2:19" ht="12.75" customHeight="1">
      <c r="B31" s="313" t="s">
        <v>14</v>
      </c>
      <c r="C31" s="313"/>
      <c r="D31" s="313"/>
      <c r="E31" s="313"/>
      <c r="F31" s="313"/>
      <c r="G31" s="313"/>
      <c r="H31" s="313"/>
      <c r="I31" s="313"/>
      <c r="J31" s="313"/>
      <c r="K31" s="313"/>
      <c r="L31" s="313"/>
      <c r="M31" s="313"/>
      <c r="N31" s="313"/>
      <c r="O31" s="313"/>
      <c r="P31" s="131"/>
      <c r="Q31" s="131"/>
      <c r="R31" s="131"/>
      <c r="S31" s="131"/>
    </row>
    <row r="32" spans="2:19" ht="12.75" customHeight="1">
      <c r="B32" s="403" t="s">
        <v>15</v>
      </c>
      <c r="C32" s="403"/>
      <c r="D32" s="403"/>
      <c r="E32" s="403"/>
      <c r="F32" s="403"/>
      <c r="G32" s="404"/>
      <c r="H32" s="402" t="s">
        <v>16</v>
      </c>
      <c r="I32" s="403"/>
      <c r="J32" s="403"/>
      <c r="K32" s="403"/>
      <c r="L32" s="403"/>
      <c r="M32" s="402" t="s">
        <v>17</v>
      </c>
      <c r="N32" s="403"/>
      <c r="O32" s="403"/>
      <c r="P32" s="403"/>
      <c r="Q32" s="403"/>
      <c r="R32" s="403"/>
      <c r="S32" s="404"/>
    </row>
    <row r="33" spans="2:19" ht="68.25" customHeight="1" thickBot="1">
      <c r="B33" s="353"/>
      <c r="C33" s="353"/>
      <c r="D33" s="353"/>
      <c r="E33" s="353"/>
      <c r="F33" s="353"/>
      <c r="G33" s="354"/>
      <c r="H33" s="352"/>
      <c r="I33" s="353"/>
      <c r="J33" s="353"/>
      <c r="K33" s="353"/>
      <c r="L33" s="353"/>
      <c r="M33" s="352"/>
      <c r="N33" s="353"/>
      <c r="O33" s="353"/>
      <c r="P33" s="353"/>
      <c r="Q33" s="353"/>
      <c r="R33" s="353"/>
      <c r="S33" s="354"/>
    </row>
  </sheetData>
  <mergeCells count="52">
    <mergeCell ref="B13:S13"/>
    <mergeCell ref="D17:E17"/>
    <mergeCell ref="F17:G17"/>
    <mergeCell ref="L2:N3"/>
    <mergeCell ref="B2:D3"/>
    <mergeCell ref="O2:S3"/>
    <mergeCell ref="F7:I7"/>
    <mergeCell ref="F8:I8"/>
    <mergeCell ref="B4:E4"/>
    <mergeCell ref="N4:S4"/>
    <mergeCell ref="E2:K3"/>
    <mergeCell ref="B5:C5"/>
    <mergeCell ref="F6:I6"/>
    <mergeCell ref="F9:I9"/>
    <mergeCell ref="F10:I10"/>
    <mergeCell ref="B19:S20"/>
    <mergeCell ref="B24:S24"/>
    <mergeCell ref="B23:O23"/>
    <mergeCell ref="B16:B17"/>
    <mergeCell ref="C16:C17"/>
    <mergeCell ref="F12:I12"/>
    <mergeCell ref="B21:S21"/>
    <mergeCell ref="Q18:S18"/>
    <mergeCell ref="F11:I11"/>
    <mergeCell ref="B15:S15"/>
    <mergeCell ref="B14:S14"/>
    <mergeCell ref="D16:K16"/>
    <mergeCell ref="L16:S16"/>
    <mergeCell ref="M17:N17"/>
    <mergeCell ref="B25:O25"/>
    <mergeCell ref="B27:O27"/>
    <mergeCell ref="B28:O28"/>
    <mergeCell ref="B29:O29"/>
    <mergeCell ref="J18:K18"/>
    <mergeCell ref="M18:N18"/>
    <mergeCell ref="D18:E18"/>
    <mergeCell ref="M33:S33"/>
    <mergeCell ref="M32:S32"/>
    <mergeCell ref="B26:S26"/>
    <mergeCell ref="B31:O31"/>
    <mergeCell ref="B32:G32"/>
    <mergeCell ref="H32:L32"/>
    <mergeCell ref="B33:G33"/>
    <mergeCell ref="H33:L33"/>
    <mergeCell ref="B30:O30"/>
    <mergeCell ref="H17:I17"/>
    <mergeCell ref="J17:K17"/>
    <mergeCell ref="Q17:S17"/>
    <mergeCell ref="F18:G18"/>
    <mergeCell ref="H18:I18"/>
    <mergeCell ref="O18:P18"/>
    <mergeCell ref="O17:P17"/>
  </mergeCells>
  <phoneticPr fontId="2" type="noConversion"/>
  <printOptions horizontalCentered="1"/>
  <pageMargins left="0.39370078740157483" right="0.39370078740157483" top="0.51181102362204722" bottom="0.51181102362204722" header="0.31496062992125984" footer="0.31496062992125984"/>
  <pageSetup paperSize="9" orientation="portrait" r:id="rId1"/>
  <headerFooter>
    <oddFooter>&amp;RRevisão: 00          
11.06.2012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P32"/>
  <sheetViews>
    <sheetView showGridLines="0" topLeftCell="A4" zoomScaleNormal="110" workbookViewId="0">
      <selection activeCell="U3" sqref="U3"/>
    </sheetView>
  </sheetViews>
  <sheetFormatPr defaultRowHeight="13.2"/>
  <cols>
    <col min="1" max="1" width="0.6640625" customWidth="1"/>
    <col min="2" max="2" width="4.6640625" customWidth="1"/>
    <col min="3" max="3" width="9.5546875" customWidth="1"/>
    <col min="4" max="5" width="7.88671875" customWidth="1"/>
    <col min="6" max="6" width="6.6640625" customWidth="1"/>
    <col min="7" max="7" width="7.88671875" customWidth="1"/>
    <col min="8" max="8" width="6.33203125" customWidth="1"/>
    <col min="9" max="9" width="9" customWidth="1"/>
    <col min="10" max="10" width="9.44140625" customWidth="1"/>
    <col min="11" max="11" width="8.6640625" customWidth="1"/>
    <col min="12" max="12" width="10" customWidth="1"/>
    <col min="13" max="13" width="7.44140625" customWidth="1"/>
    <col min="14" max="14" width="11.44140625" customWidth="1"/>
    <col min="15" max="15" width="7.109375" customWidth="1"/>
    <col min="16" max="16" width="4.44140625" customWidth="1"/>
  </cols>
  <sheetData>
    <row r="1" spans="1:16" ht="4.5" customHeight="1"/>
    <row r="2" spans="1:16" ht="57" customHeight="1">
      <c r="B2" s="440" t="s">
        <v>256</v>
      </c>
      <c r="C2" s="440"/>
      <c r="D2" s="440"/>
      <c r="E2" s="451" t="s">
        <v>273</v>
      </c>
      <c r="F2" s="451"/>
      <c r="G2" s="451"/>
      <c r="H2" s="451"/>
      <c r="I2" s="451"/>
      <c r="J2" s="391" t="s">
        <v>436</v>
      </c>
      <c r="K2" s="391"/>
      <c r="L2" s="391"/>
      <c r="M2" s="441" t="s">
        <v>270</v>
      </c>
      <c r="N2" s="441"/>
      <c r="O2" s="441"/>
      <c r="P2" s="441"/>
    </row>
    <row r="3" spans="1:16" ht="57" customHeight="1">
      <c r="B3" s="440"/>
      <c r="C3" s="440"/>
      <c r="D3" s="440"/>
      <c r="E3" s="451"/>
      <c r="F3" s="451"/>
      <c r="G3" s="451"/>
      <c r="H3" s="451"/>
      <c r="I3" s="451"/>
      <c r="J3" s="391"/>
      <c r="K3" s="391"/>
      <c r="L3" s="391"/>
      <c r="M3" s="441"/>
      <c r="N3" s="441"/>
      <c r="O3" s="441"/>
      <c r="P3" s="441"/>
    </row>
    <row r="4" spans="1:16" s="67" customFormat="1" ht="15" customHeight="1" thickBot="1">
      <c r="A4" s="68"/>
      <c r="B4" s="371" t="s">
        <v>291</v>
      </c>
      <c r="C4" s="371"/>
      <c r="D4" s="371"/>
      <c r="E4" s="371"/>
      <c r="F4" s="371"/>
      <c r="G4" s="371"/>
      <c r="H4" s="101"/>
      <c r="I4" s="101"/>
      <c r="J4" s="101"/>
      <c r="K4" s="102"/>
      <c r="L4" s="446"/>
      <c r="M4" s="446"/>
      <c r="N4" s="446"/>
      <c r="O4" s="446"/>
      <c r="P4" s="446"/>
    </row>
    <row r="5" spans="1:16" ht="13.8" thickBot="1">
      <c r="B5" s="443" t="s">
        <v>6</v>
      </c>
      <c r="C5" s="443"/>
      <c r="D5" s="103" t="s">
        <v>290</v>
      </c>
      <c r="E5" s="103"/>
      <c r="F5" s="103"/>
      <c r="G5" s="103"/>
      <c r="H5" s="103"/>
      <c r="I5" s="103"/>
      <c r="J5" s="103"/>
      <c r="K5" s="103"/>
      <c r="L5" s="103"/>
      <c r="M5" s="103"/>
      <c r="N5" s="103"/>
      <c r="O5" s="103"/>
      <c r="P5" s="103"/>
    </row>
    <row r="6" spans="1:16" ht="20.399999999999999">
      <c r="B6" s="148" t="s">
        <v>8</v>
      </c>
      <c r="C6" s="149" t="s">
        <v>9</v>
      </c>
      <c r="D6" s="149" t="s">
        <v>10</v>
      </c>
      <c r="E6" s="149" t="s">
        <v>23</v>
      </c>
      <c r="F6" s="448" t="s">
        <v>288</v>
      </c>
      <c r="G6" s="449"/>
      <c r="H6" s="449"/>
      <c r="I6" s="450"/>
      <c r="J6" s="150" t="s">
        <v>319</v>
      </c>
      <c r="K6" s="150" t="s">
        <v>320</v>
      </c>
      <c r="L6" s="150" t="s">
        <v>321</v>
      </c>
      <c r="M6" s="150" t="s">
        <v>322</v>
      </c>
      <c r="N6" s="150" t="s">
        <v>323</v>
      </c>
      <c r="O6" s="441" t="s">
        <v>326</v>
      </c>
      <c r="P6" s="441"/>
    </row>
    <row r="7" spans="1:16">
      <c r="B7" s="146">
        <v>1</v>
      </c>
      <c r="C7" s="146"/>
      <c r="D7" s="146"/>
      <c r="E7" s="146"/>
      <c r="F7" s="427"/>
      <c r="G7" s="427"/>
      <c r="H7" s="427"/>
      <c r="I7" s="427"/>
      <c r="J7" s="147"/>
      <c r="K7" s="147"/>
      <c r="L7" s="147"/>
      <c r="M7" s="147"/>
      <c r="N7" s="147"/>
      <c r="O7" s="444"/>
      <c r="P7" s="444"/>
    </row>
    <row r="8" spans="1:16">
      <c r="B8" s="146">
        <v>2</v>
      </c>
      <c r="C8" s="146"/>
      <c r="D8" s="146"/>
      <c r="E8" s="146"/>
      <c r="F8" s="427"/>
      <c r="G8" s="427"/>
      <c r="H8" s="427"/>
      <c r="I8" s="427"/>
      <c r="J8" s="147"/>
      <c r="K8" s="147"/>
      <c r="L8" s="147"/>
      <c r="M8" s="147"/>
      <c r="N8" s="147"/>
      <c r="O8" s="444"/>
      <c r="P8" s="444"/>
    </row>
    <row r="9" spans="1:16">
      <c r="B9" s="146">
        <v>3</v>
      </c>
      <c r="C9" s="146"/>
      <c r="D9" s="146"/>
      <c r="E9" s="146"/>
      <c r="F9" s="427"/>
      <c r="G9" s="427"/>
      <c r="H9" s="427"/>
      <c r="I9" s="427"/>
      <c r="J9" s="147"/>
      <c r="K9" s="147"/>
      <c r="L9" s="147"/>
      <c r="M9" s="147"/>
      <c r="N9" s="147"/>
      <c r="O9" s="444"/>
      <c r="P9" s="444"/>
    </row>
    <row r="10" spans="1:16">
      <c r="B10" s="146">
        <v>4</v>
      </c>
      <c r="C10" s="146"/>
      <c r="D10" s="146"/>
      <c r="E10" s="146"/>
      <c r="F10" s="427"/>
      <c r="G10" s="427"/>
      <c r="H10" s="427"/>
      <c r="I10" s="427"/>
      <c r="J10" s="147"/>
      <c r="K10" s="147"/>
      <c r="L10" s="147"/>
      <c r="M10" s="147"/>
      <c r="N10" s="147"/>
      <c r="O10" s="444"/>
      <c r="P10" s="444"/>
    </row>
    <row r="11" spans="1:16">
      <c r="B11" s="146">
        <v>5</v>
      </c>
      <c r="C11" s="146"/>
      <c r="D11" s="146"/>
      <c r="E11" s="146"/>
      <c r="F11" s="427"/>
      <c r="G11" s="427"/>
      <c r="H11" s="427"/>
      <c r="I11" s="427"/>
      <c r="J11" s="147"/>
      <c r="K11" s="147"/>
      <c r="L11" s="147"/>
      <c r="M11" s="147"/>
      <c r="N11" s="147"/>
      <c r="O11" s="444"/>
      <c r="P11" s="444"/>
    </row>
    <row r="12" spans="1:16">
      <c r="B12" s="146">
        <v>6</v>
      </c>
      <c r="C12" s="146"/>
      <c r="D12" s="146"/>
      <c r="E12" s="146"/>
      <c r="F12" s="427"/>
      <c r="G12" s="427"/>
      <c r="H12" s="427"/>
      <c r="I12" s="427"/>
      <c r="J12" s="143"/>
      <c r="K12" s="143"/>
      <c r="L12" s="143"/>
      <c r="M12" s="143"/>
      <c r="N12" s="143"/>
      <c r="O12" s="444"/>
      <c r="P12" s="444"/>
    </row>
    <row r="13" spans="1:16" ht="25.5" customHeight="1" thickBot="1">
      <c r="B13" s="428" t="s">
        <v>327</v>
      </c>
      <c r="C13" s="428"/>
      <c r="D13" s="428"/>
      <c r="E13" s="428"/>
      <c r="F13" s="428"/>
      <c r="G13" s="428"/>
      <c r="H13" s="428"/>
      <c r="I13" s="428"/>
      <c r="J13" s="428"/>
      <c r="K13" s="428"/>
      <c r="L13" s="428"/>
      <c r="M13" s="428"/>
      <c r="N13" s="428"/>
      <c r="O13" s="428"/>
      <c r="P13" s="428"/>
    </row>
    <row r="14" spans="1:16">
      <c r="B14" s="435" t="s">
        <v>11</v>
      </c>
      <c r="C14" s="435"/>
      <c r="D14" s="435"/>
      <c r="E14" s="435"/>
      <c r="F14" s="435"/>
      <c r="G14" s="435"/>
      <c r="H14" s="435"/>
      <c r="I14" s="435"/>
      <c r="J14" s="435"/>
      <c r="K14" s="435"/>
      <c r="L14" s="435"/>
      <c r="M14" s="435"/>
      <c r="N14" s="435"/>
      <c r="O14" s="435"/>
      <c r="P14" s="435"/>
    </row>
    <row r="15" spans="1:16" ht="55.5" customHeight="1" thickBot="1">
      <c r="B15" s="452"/>
      <c r="C15" s="453"/>
      <c r="D15" s="453"/>
      <c r="E15" s="453"/>
      <c r="F15" s="453"/>
      <c r="G15" s="453"/>
      <c r="H15" s="453"/>
      <c r="I15" s="453"/>
      <c r="J15" s="453"/>
      <c r="K15" s="453"/>
      <c r="L15" s="453"/>
      <c r="M15" s="453"/>
      <c r="N15" s="453"/>
      <c r="O15" s="453"/>
      <c r="P15" s="453"/>
    </row>
    <row r="16" spans="1:16" s="3" customFormat="1" ht="24" customHeight="1" thickBot="1">
      <c r="B16" s="431" t="s">
        <v>250</v>
      </c>
      <c r="C16" s="348" t="s">
        <v>262</v>
      </c>
      <c r="D16" s="406" t="s">
        <v>411</v>
      </c>
      <c r="E16" s="407"/>
      <c r="F16" s="407"/>
      <c r="G16" s="407"/>
      <c r="H16" s="407"/>
      <c r="I16" s="407"/>
      <c r="J16" s="407"/>
      <c r="K16" s="407"/>
      <c r="L16" s="407"/>
      <c r="M16" s="407"/>
      <c r="N16" s="407"/>
      <c r="O16" s="407"/>
      <c r="P16" s="408"/>
    </row>
    <row r="17" spans="2:16" s="3" customFormat="1" ht="22.5" customHeight="1">
      <c r="B17" s="432"/>
      <c r="C17" s="338"/>
      <c r="D17" s="341" t="s">
        <v>289</v>
      </c>
      <c r="E17" s="341"/>
      <c r="F17" s="341"/>
      <c r="G17" s="341"/>
      <c r="H17" s="409" t="s">
        <v>286</v>
      </c>
      <c r="I17" s="409"/>
      <c r="J17" s="410"/>
      <c r="K17" s="409" t="s">
        <v>285</v>
      </c>
      <c r="L17" s="409"/>
      <c r="M17" s="410"/>
      <c r="N17" s="447" t="s">
        <v>12</v>
      </c>
      <c r="O17" s="447"/>
      <c r="P17" s="447"/>
    </row>
    <row r="18" spans="2:16" s="3" customFormat="1" ht="21" customHeight="1">
      <c r="B18" s="57">
        <f>COUNT(J7:J12)</f>
        <v>0</v>
      </c>
      <c r="C18" s="83"/>
      <c r="D18" s="421"/>
      <c r="E18" s="433"/>
      <c r="F18" s="433"/>
      <c r="G18" s="422"/>
      <c r="H18" s="420"/>
      <c r="I18" s="420"/>
      <c r="J18" s="420"/>
      <c r="K18" s="420"/>
      <c r="L18" s="420"/>
      <c r="M18" s="420"/>
      <c r="N18" s="420"/>
      <c r="O18" s="420"/>
      <c r="P18" s="420"/>
    </row>
    <row r="19" spans="2:16" s="3" customFormat="1" ht="19.5" customHeight="1" thickBot="1">
      <c r="B19" s="428" t="s">
        <v>328</v>
      </c>
      <c r="C19" s="428"/>
      <c r="D19" s="428"/>
      <c r="E19" s="428"/>
      <c r="F19" s="428"/>
      <c r="G19" s="428"/>
      <c r="H19" s="428"/>
      <c r="I19" s="428"/>
      <c r="J19" s="428"/>
      <c r="K19" s="428"/>
      <c r="L19" s="428"/>
      <c r="M19" s="428"/>
      <c r="N19" s="428"/>
      <c r="O19" s="428"/>
      <c r="P19" s="428"/>
    </row>
    <row r="20" spans="2:16" ht="12.75" customHeight="1">
      <c r="B20" s="313" t="s">
        <v>325</v>
      </c>
      <c r="C20" s="313"/>
      <c r="D20" s="313"/>
      <c r="E20" s="313"/>
      <c r="F20" s="313"/>
      <c r="G20" s="313"/>
      <c r="H20" s="313"/>
      <c r="I20" s="313"/>
      <c r="J20" s="313"/>
      <c r="K20" s="313"/>
      <c r="L20" s="313"/>
      <c r="M20" s="313"/>
      <c r="N20" s="313"/>
      <c r="O20" s="313"/>
      <c r="P20" s="313"/>
    </row>
    <row r="21" spans="2:16" ht="49.5" customHeight="1" thickBot="1">
      <c r="B21" s="145"/>
      <c r="C21" s="145"/>
      <c r="D21" s="145"/>
      <c r="E21" s="145"/>
      <c r="F21" s="145"/>
      <c r="G21" s="145"/>
      <c r="H21" s="145"/>
      <c r="I21" s="145"/>
      <c r="J21" s="145"/>
      <c r="K21" s="145"/>
      <c r="L21" s="145"/>
      <c r="M21" s="145"/>
      <c r="N21" s="145"/>
      <c r="O21" s="145"/>
      <c r="P21" s="145"/>
    </row>
    <row r="22" spans="2:16" ht="12.75" customHeight="1">
      <c r="B22" s="313" t="s">
        <v>281</v>
      </c>
      <c r="C22" s="313"/>
      <c r="D22" s="313"/>
      <c r="E22" s="313"/>
      <c r="F22" s="313"/>
      <c r="G22" s="313"/>
      <c r="H22" s="313"/>
      <c r="I22" s="313"/>
      <c r="J22" s="313"/>
      <c r="K22" s="313"/>
      <c r="L22" s="313"/>
      <c r="M22" s="313"/>
      <c r="N22" s="313"/>
      <c r="O22" s="313"/>
      <c r="P22" s="313"/>
    </row>
    <row r="23" spans="2:16" ht="60.75" customHeight="1" thickBot="1">
      <c r="B23" s="430"/>
      <c r="C23" s="430"/>
      <c r="D23" s="430"/>
      <c r="E23" s="430"/>
      <c r="F23" s="430"/>
      <c r="G23" s="430"/>
      <c r="H23" s="430"/>
      <c r="I23" s="430"/>
      <c r="J23" s="430"/>
      <c r="K23" s="430"/>
      <c r="L23" s="430"/>
      <c r="M23" s="430"/>
      <c r="N23" s="430"/>
      <c r="O23" s="430"/>
      <c r="P23" s="430"/>
    </row>
    <row r="24" spans="2:16" ht="12.75" customHeight="1">
      <c r="B24" s="313" t="s">
        <v>13</v>
      </c>
      <c r="C24" s="313"/>
      <c r="D24" s="313"/>
      <c r="E24" s="313"/>
      <c r="F24" s="313"/>
      <c r="G24" s="313"/>
      <c r="H24" s="313"/>
      <c r="I24" s="313"/>
      <c r="J24" s="313"/>
      <c r="K24" s="313"/>
      <c r="L24" s="313"/>
      <c r="M24" s="313"/>
      <c r="N24" s="313"/>
      <c r="O24" s="313"/>
      <c r="P24" s="313"/>
    </row>
    <row r="25" spans="2:16" ht="48.75" customHeight="1" thickBot="1">
      <c r="B25" s="424"/>
      <c r="C25" s="424"/>
      <c r="D25" s="424"/>
      <c r="E25" s="424"/>
      <c r="F25" s="424"/>
      <c r="G25" s="424"/>
      <c r="H25" s="424"/>
      <c r="I25" s="424"/>
      <c r="J25" s="424"/>
      <c r="K25" s="424"/>
      <c r="L25" s="424"/>
      <c r="M25" s="424"/>
      <c r="N25" s="424"/>
      <c r="O25" s="424"/>
      <c r="P25" s="424"/>
    </row>
    <row r="26" spans="2:16" ht="12.75" customHeight="1">
      <c r="B26" s="313" t="s">
        <v>301</v>
      </c>
      <c r="C26" s="313"/>
      <c r="D26" s="313"/>
      <c r="E26" s="313"/>
      <c r="F26" s="313"/>
      <c r="G26" s="313"/>
      <c r="H26" s="313"/>
      <c r="I26" s="313"/>
      <c r="J26" s="313"/>
      <c r="K26" s="313"/>
      <c r="L26" s="313"/>
      <c r="M26" s="313"/>
      <c r="N26" s="313"/>
      <c r="O26" s="313"/>
      <c r="P26" s="313"/>
    </row>
    <row r="27" spans="2:16" ht="48.75" customHeight="1" thickBot="1">
      <c r="B27" s="311"/>
      <c r="C27" s="311"/>
      <c r="D27" s="311"/>
      <c r="E27" s="311"/>
      <c r="F27" s="311"/>
      <c r="G27" s="311"/>
      <c r="H27" s="311"/>
      <c r="I27" s="311"/>
      <c r="J27" s="311"/>
      <c r="K27" s="311"/>
      <c r="L27" s="311"/>
      <c r="M27" s="311"/>
      <c r="N27" s="311"/>
      <c r="O27" s="311"/>
      <c r="P27" s="311"/>
    </row>
    <row r="28" spans="2:16" ht="12.75" customHeight="1">
      <c r="B28" s="313" t="s">
        <v>302</v>
      </c>
      <c r="C28" s="313"/>
      <c r="D28" s="313"/>
      <c r="E28" s="313"/>
      <c r="F28" s="313"/>
      <c r="G28" s="313"/>
      <c r="H28" s="313"/>
      <c r="I28" s="313"/>
      <c r="J28" s="313"/>
      <c r="K28" s="313"/>
      <c r="L28" s="313"/>
      <c r="M28" s="313"/>
      <c r="N28" s="313"/>
      <c r="O28" s="313"/>
      <c r="P28" s="313"/>
    </row>
    <row r="29" spans="2:16" ht="53.25" customHeight="1" thickBot="1">
      <c r="B29" s="310"/>
      <c r="C29" s="310"/>
      <c r="D29" s="310"/>
      <c r="E29" s="310"/>
      <c r="F29" s="310"/>
      <c r="G29" s="310"/>
      <c r="H29" s="310"/>
      <c r="I29" s="310"/>
      <c r="J29" s="310"/>
      <c r="K29" s="310"/>
      <c r="L29" s="310"/>
      <c r="M29" s="310"/>
      <c r="N29" s="310"/>
      <c r="O29" s="310"/>
      <c r="P29" s="310"/>
    </row>
    <row r="30" spans="2:16" ht="12.75" customHeight="1">
      <c r="B30" s="313" t="s">
        <v>14</v>
      </c>
      <c r="C30" s="313"/>
      <c r="D30" s="313"/>
      <c r="E30" s="313"/>
      <c r="F30" s="313"/>
      <c r="G30" s="313"/>
      <c r="H30" s="313"/>
      <c r="I30" s="313"/>
      <c r="J30" s="313"/>
      <c r="K30" s="313"/>
      <c r="L30" s="313"/>
      <c r="M30" s="313"/>
      <c r="N30" s="313"/>
      <c r="O30" s="313"/>
      <c r="P30" s="313"/>
    </row>
    <row r="31" spans="2:16" ht="12.75" customHeight="1">
      <c r="B31" s="445" t="s">
        <v>15</v>
      </c>
      <c r="C31" s="445"/>
      <c r="D31" s="445"/>
      <c r="E31" s="445"/>
      <c r="F31" s="445"/>
      <c r="G31" s="445" t="s">
        <v>16</v>
      </c>
      <c r="H31" s="445"/>
      <c r="I31" s="445"/>
      <c r="J31" s="445"/>
      <c r="K31" s="445"/>
      <c r="L31" s="445" t="s">
        <v>17</v>
      </c>
      <c r="M31" s="445"/>
      <c r="N31" s="445"/>
      <c r="O31" s="445"/>
      <c r="P31" s="445"/>
    </row>
    <row r="32" spans="2:16" ht="55.5" customHeight="1">
      <c r="B32" s="383"/>
      <c r="C32" s="383"/>
      <c r="D32" s="383"/>
      <c r="E32" s="383"/>
      <c r="F32" s="383"/>
      <c r="G32" s="383"/>
      <c r="H32" s="383"/>
      <c r="I32" s="383"/>
      <c r="J32" s="383"/>
      <c r="K32" s="383"/>
      <c r="L32" s="383"/>
      <c r="M32" s="383"/>
      <c r="N32" s="383"/>
      <c r="O32" s="383"/>
      <c r="P32" s="383"/>
    </row>
  </sheetData>
  <mergeCells count="52">
    <mergeCell ref="B19:P19"/>
    <mergeCell ref="F8:I8"/>
    <mergeCell ref="F9:I9"/>
    <mergeCell ref="D18:G18"/>
    <mergeCell ref="H18:J18"/>
    <mergeCell ref="K18:M18"/>
    <mergeCell ref="N18:P18"/>
    <mergeCell ref="F12:I12"/>
    <mergeCell ref="B14:P14"/>
    <mergeCell ref="B15:P15"/>
    <mergeCell ref="B16:B17"/>
    <mergeCell ref="C16:C17"/>
    <mergeCell ref="D16:P16"/>
    <mergeCell ref="B13:P13"/>
    <mergeCell ref="O12:P12"/>
    <mergeCell ref="B29:P29"/>
    <mergeCell ref="J2:L3"/>
    <mergeCell ref="M2:P3"/>
    <mergeCell ref="B5:C5"/>
    <mergeCell ref="B4:G4"/>
    <mergeCell ref="L4:P4"/>
    <mergeCell ref="N17:P17"/>
    <mergeCell ref="K17:M17"/>
    <mergeCell ref="H17:J17"/>
    <mergeCell ref="D17:G17"/>
    <mergeCell ref="F6:I6"/>
    <mergeCell ref="F7:I7"/>
    <mergeCell ref="F10:I10"/>
    <mergeCell ref="F11:I11"/>
    <mergeCell ref="B2:D3"/>
    <mergeCell ref="E2:I3"/>
    <mergeCell ref="O11:P11"/>
    <mergeCell ref="B31:F31"/>
    <mergeCell ref="G31:K31"/>
    <mergeCell ref="L31:P31"/>
    <mergeCell ref="B32:F32"/>
    <mergeCell ref="G32:K32"/>
    <mergeCell ref="L32:P32"/>
    <mergeCell ref="B30:P30"/>
    <mergeCell ref="B20:P20"/>
    <mergeCell ref="B22:P22"/>
    <mergeCell ref="B23:P23"/>
    <mergeCell ref="B24:P24"/>
    <mergeCell ref="B25:P25"/>
    <mergeCell ref="B26:P26"/>
    <mergeCell ref="B27:P27"/>
    <mergeCell ref="B28:P28"/>
    <mergeCell ref="O6:P6"/>
    <mergeCell ref="O7:P7"/>
    <mergeCell ref="O8:P8"/>
    <mergeCell ref="O9:P9"/>
    <mergeCell ref="O10:P10"/>
  </mergeCells>
  <printOptions horizontalCentered="1"/>
  <pageMargins left="0.39370078740157483" right="0.39370078740157483" top="0.51181102362204722" bottom="0.51181102362204722" header="0.31496062992125984" footer="0.31496062992125984"/>
  <pageSetup paperSize="9" orientation="portrait" r:id="rId1"/>
  <headerFooter>
    <oddFooter>&amp;RRevisão: 00          
11.06.2012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249977111117893"/>
  </sheetPr>
  <dimension ref="A1:O74"/>
  <sheetViews>
    <sheetView showGridLines="0" topLeftCell="A11" zoomScaleNormal="100" workbookViewId="0">
      <selection activeCell="P5" sqref="P5"/>
    </sheetView>
  </sheetViews>
  <sheetFormatPr defaultColWidth="9.109375" defaultRowHeight="13.2"/>
  <cols>
    <col min="1" max="1" width="0.88671875" style="79" customWidth="1"/>
    <col min="2" max="2" width="4.33203125" style="79" customWidth="1"/>
    <col min="3" max="3" width="9.6640625" style="79" customWidth="1"/>
    <col min="4" max="4" width="11" style="79" customWidth="1"/>
    <col min="5" max="5" width="8.6640625" style="79" customWidth="1"/>
    <col min="6" max="6" width="9.109375" style="79" customWidth="1"/>
    <col min="7" max="7" width="11" style="79" customWidth="1"/>
    <col min="8" max="8" width="8.88671875" style="79" customWidth="1"/>
    <col min="9" max="9" width="9.5546875" style="79" customWidth="1"/>
    <col min="10" max="10" width="13.88671875" style="79" customWidth="1"/>
    <col min="11" max="11" width="10.5546875" style="79" customWidth="1"/>
    <col min="12" max="12" width="15.109375" style="79" customWidth="1"/>
    <col min="13" max="13" width="11.33203125" style="79" customWidth="1"/>
    <col min="14" max="14" width="8.6640625" style="79" customWidth="1"/>
    <col min="15" max="15" width="9.109375" style="79" customWidth="1"/>
    <col min="16" max="16384" width="9.109375" style="79"/>
  </cols>
  <sheetData>
    <row r="1" spans="1:15" ht="4.5" customHeight="1"/>
    <row r="2" spans="1:15" ht="57" customHeight="1">
      <c r="B2" s="482" t="s">
        <v>256</v>
      </c>
      <c r="C2" s="482"/>
      <c r="D2" s="451" t="s">
        <v>271</v>
      </c>
      <c r="E2" s="451"/>
      <c r="F2" s="451"/>
      <c r="G2" s="451"/>
      <c r="H2" s="451"/>
      <c r="I2" s="451"/>
      <c r="J2" s="451"/>
      <c r="K2" s="451"/>
      <c r="L2" s="391" t="s">
        <v>436</v>
      </c>
      <c r="M2" s="391"/>
      <c r="N2" s="391"/>
      <c r="O2" s="441" t="s">
        <v>270</v>
      </c>
    </row>
    <row r="3" spans="1:15" s="67" customFormat="1" ht="15" customHeight="1">
      <c r="A3" s="68"/>
      <c r="B3" s="482"/>
      <c r="C3" s="482"/>
      <c r="D3" s="451"/>
      <c r="E3" s="451"/>
      <c r="F3" s="451"/>
      <c r="G3" s="451"/>
      <c r="H3" s="451"/>
      <c r="I3" s="451"/>
      <c r="J3" s="451"/>
      <c r="K3" s="451"/>
      <c r="L3" s="391"/>
      <c r="M3" s="391"/>
      <c r="N3" s="391"/>
      <c r="O3" s="441"/>
    </row>
    <row r="4" spans="1:15">
      <c r="B4" s="466" t="s">
        <v>6</v>
      </c>
      <c r="C4" s="466"/>
      <c r="D4" s="466" t="s">
        <v>417</v>
      </c>
      <c r="E4" s="466"/>
      <c r="F4" s="466"/>
      <c r="G4" s="466"/>
      <c r="H4" s="466"/>
      <c r="I4" s="466"/>
      <c r="J4" s="466"/>
      <c r="K4" s="466"/>
      <c r="L4" s="466" t="s">
        <v>291</v>
      </c>
      <c r="M4" s="466"/>
      <c r="N4" s="466"/>
      <c r="O4" s="466"/>
    </row>
    <row r="5" spans="1:15" ht="25.5" customHeight="1">
      <c r="B5" s="338" t="s">
        <v>8</v>
      </c>
      <c r="C5" s="338" t="s">
        <v>9</v>
      </c>
      <c r="D5" s="338" t="s">
        <v>329</v>
      </c>
      <c r="E5" s="338" t="s">
        <v>332</v>
      </c>
      <c r="F5" s="338" t="s">
        <v>331</v>
      </c>
      <c r="G5" s="471" t="s">
        <v>424</v>
      </c>
      <c r="H5" s="472" t="s">
        <v>333</v>
      </c>
      <c r="I5" s="472" t="s">
        <v>356</v>
      </c>
      <c r="J5" s="480" t="s">
        <v>425</v>
      </c>
      <c r="K5" s="481"/>
      <c r="L5" s="480" t="s">
        <v>422</v>
      </c>
      <c r="M5" s="481"/>
      <c r="N5" s="338" t="s">
        <v>29</v>
      </c>
      <c r="O5" s="338"/>
    </row>
    <row r="6" spans="1:15" ht="24" customHeight="1">
      <c r="B6" s="338"/>
      <c r="C6" s="338"/>
      <c r="D6" s="338"/>
      <c r="E6" s="338"/>
      <c r="F6" s="338"/>
      <c r="G6" s="471"/>
      <c r="H6" s="472"/>
      <c r="I6" s="472"/>
      <c r="J6" s="234" t="s">
        <v>421</v>
      </c>
      <c r="K6" s="234" t="s">
        <v>420</v>
      </c>
      <c r="L6" s="234" t="s">
        <v>421</v>
      </c>
      <c r="M6" s="234" t="s">
        <v>419</v>
      </c>
      <c r="N6" s="338"/>
      <c r="O6" s="338"/>
    </row>
    <row r="7" spans="1:15">
      <c r="B7" s="151">
        <v>1</v>
      </c>
      <c r="C7" s="152"/>
      <c r="D7" s="153"/>
      <c r="E7" s="156"/>
      <c r="F7" s="156"/>
      <c r="G7" s="227"/>
      <c r="H7" s="183"/>
      <c r="I7" s="182"/>
      <c r="J7" s="228"/>
      <c r="K7" s="229"/>
      <c r="L7" s="228"/>
      <c r="M7" s="230"/>
      <c r="N7" s="440"/>
      <c r="O7" s="440"/>
    </row>
    <row r="8" spans="1:15">
      <c r="B8" s="151">
        <v>2</v>
      </c>
      <c r="C8" s="152"/>
      <c r="D8" s="153"/>
      <c r="E8" s="156"/>
      <c r="F8" s="156"/>
      <c r="G8" s="227"/>
      <c r="H8" s="183"/>
      <c r="I8" s="182"/>
      <c r="J8" s="228"/>
      <c r="K8" s="229"/>
      <c r="L8" s="228"/>
      <c r="M8" s="230"/>
      <c r="N8" s="440"/>
      <c r="O8" s="440"/>
    </row>
    <row r="9" spans="1:15">
      <c r="B9" s="151">
        <v>3</v>
      </c>
      <c r="C9" s="152"/>
      <c r="D9" s="153"/>
      <c r="E9" s="156"/>
      <c r="F9" s="156"/>
      <c r="G9" s="227"/>
      <c r="H9" s="183"/>
      <c r="I9" s="182"/>
      <c r="J9" s="228"/>
      <c r="K9" s="229"/>
      <c r="L9" s="228"/>
      <c r="M9" s="230"/>
      <c r="N9" s="440"/>
      <c r="O9" s="440"/>
    </row>
    <row r="10" spans="1:15">
      <c r="B10" s="151">
        <v>4</v>
      </c>
      <c r="C10" s="151"/>
      <c r="D10" s="151"/>
      <c r="E10" s="154"/>
      <c r="F10" s="154"/>
      <c r="G10" s="227"/>
      <c r="H10" s="183"/>
      <c r="I10" s="182"/>
      <c r="J10" s="228"/>
      <c r="K10" s="229"/>
      <c r="L10" s="228"/>
      <c r="M10" s="230"/>
      <c r="N10" s="440"/>
      <c r="O10" s="440"/>
    </row>
    <row r="11" spans="1:15">
      <c r="B11" s="151">
        <v>5</v>
      </c>
      <c r="C11" s="151"/>
      <c r="D11" s="151"/>
      <c r="E11" s="154"/>
      <c r="F11" s="154"/>
      <c r="G11" s="227"/>
      <c r="H11" s="183"/>
      <c r="I11" s="182"/>
      <c r="J11" s="228"/>
      <c r="K11" s="229"/>
      <c r="L11" s="228"/>
      <c r="M11" s="230"/>
      <c r="N11" s="440"/>
      <c r="O11" s="440"/>
    </row>
    <row r="12" spans="1:15">
      <c r="B12" s="151">
        <v>6</v>
      </c>
      <c r="C12" s="151"/>
      <c r="D12" s="151"/>
      <c r="E12" s="154"/>
      <c r="F12" s="154"/>
      <c r="G12" s="227"/>
      <c r="H12" s="183"/>
      <c r="I12" s="182"/>
      <c r="J12" s="228"/>
      <c r="K12" s="229"/>
      <c r="L12" s="228"/>
      <c r="M12" s="230"/>
      <c r="N12" s="440"/>
      <c r="O12" s="440"/>
    </row>
    <row r="13" spans="1:15" ht="18" customHeight="1" thickBot="1">
      <c r="B13" s="474"/>
      <c r="C13" s="474"/>
      <c r="D13" s="474"/>
      <c r="E13" s="474"/>
      <c r="F13" s="474"/>
      <c r="G13" s="474"/>
      <c r="H13" s="474"/>
      <c r="I13" s="474"/>
      <c r="J13" s="474"/>
      <c r="K13" s="474"/>
      <c r="L13" s="474"/>
      <c r="M13" s="474"/>
      <c r="N13" s="474"/>
      <c r="O13" s="474"/>
    </row>
    <row r="14" spans="1:15" ht="13.8" thickBot="1">
      <c r="B14" s="475" t="s">
        <v>11</v>
      </c>
      <c r="C14" s="475"/>
      <c r="D14" s="475"/>
      <c r="E14" s="475"/>
      <c r="F14" s="475"/>
      <c r="G14" s="475"/>
      <c r="H14" s="475"/>
      <c r="I14" s="475"/>
      <c r="J14" s="475"/>
      <c r="K14" s="475"/>
      <c r="L14" s="475"/>
      <c r="M14" s="475"/>
      <c r="N14" s="475"/>
      <c r="O14" s="475"/>
    </row>
    <row r="15" spans="1:15" ht="45.75" customHeight="1" thickBot="1">
      <c r="B15" s="467"/>
      <c r="C15" s="467"/>
      <c r="D15" s="467"/>
      <c r="E15" s="467"/>
      <c r="F15" s="467"/>
      <c r="G15" s="467"/>
      <c r="H15" s="467"/>
      <c r="I15" s="467"/>
      <c r="J15" s="467"/>
      <c r="K15" s="468"/>
      <c r="L15" s="468"/>
      <c r="M15" s="468"/>
      <c r="N15" s="468"/>
      <c r="O15" s="468"/>
    </row>
    <row r="16" spans="1:15" ht="18.75" customHeight="1" thickBot="1">
      <c r="B16" s="94"/>
      <c r="C16" s="456" t="s">
        <v>418</v>
      </c>
      <c r="D16" s="457"/>
      <c r="E16" s="457"/>
      <c r="F16" s="457"/>
      <c r="G16" s="457"/>
      <c r="H16" s="457"/>
      <c r="I16" s="457"/>
      <c r="J16" s="459"/>
      <c r="K16" s="456" t="s">
        <v>330</v>
      </c>
      <c r="L16" s="457"/>
      <c r="M16" s="457"/>
      <c r="N16" s="457"/>
      <c r="O16" s="458"/>
    </row>
    <row r="17" spans="2:15" ht="12.75" customHeight="1">
      <c r="B17" s="330" t="s">
        <v>250</v>
      </c>
      <c r="C17" s="469" t="s">
        <v>425</v>
      </c>
      <c r="D17" s="470"/>
      <c r="E17" s="470"/>
      <c r="F17" s="470"/>
      <c r="G17" s="470"/>
      <c r="H17" s="470"/>
      <c r="I17" s="470"/>
      <c r="J17" s="470"/>
      <c r="K17" s="341" t="s">
        <v>26</v>
      </c>
      <c r="L17" s="341"/>
      <c r="M17" s="341"/>
      <c r="N17" s="341"/>
      <c r="O17" s="341"/>
    </row>
    <row r="18" spans="2:15" ht="24.75" customHeight="1">
      <c r="B18" s="327"/>
      <c r="C18" s="338" t="s">
        <v>263</v>
      </c>
      <c r="D18" s="338"/>
      <c r="E18" s="338" t="s">
        <v>265</v>
      </c>
      <c r="F18" s="338"/>
      <c r="G18" s="338" t="s">
        <v>341</v>
      </c>
      <c r="H18" s="338"/>
      <c r="I18" s="53" t="s">
        <v>12</v>
      </c>
      <c r="J18" s="53" t="s">
        <v>259</v>
      </c>
      <c r="K18" s="325" t="s">
        <v>263</v>
      </c>
      <c r="L18" s="327"/>
      <c r="M18" s="325" t="s">
        <v>264</v>
      </c>
      <c r="N18" s="327"/>
      <c r="O18" s="60" t="s">
        <v>12</v>
      </c>
    </row>
    <row r="19" spans="2:15" ht="16.5" customHeight="1">
      <c r="B19" s="97">
        <f>COUNT(M7:M12)</f>
        <v>0</v>
      </c>
      <c r="C19" s="484"/>
      <c r="D19" s="484"/>
      <c r="E19" s="473"/>
      <c r="F19" s="473"/>
      <c r="G19" s="483"/>
      <c r="H19" s="483"/>
      <c r="I19" s="223"/>
      <c r="J19" s="223"/>
      <c r="K19" s="476"/>
      <c r="L19" s="477"/>
      <c r="M19" s="454"/>
      <c r="N19" s="455"/>
      <c r="O19" s="223"/>
    </row>
    <row r="20" spans="2:15" ht="28.5" customHeight="1" thickBot="1">
      <c r="B20" s="474" t="s">
        <v>342</v>
      </c>
      <c r="C20" s="474"/>
      <c r="D20" s="474"/>
      <c r="E20" s="474"/>
      <c r="F20" s="474"/>
      <c r="G20" s="474"/>
      <c r="H20" s="474"/>
      <c r="I20" s="474"/>
      <c r="J20" s="474"/>
      <c r="K20" s="474"/>
      <c r="L20" s="474"/>
      <c r="M20" s="474"/>
      <c r="N20" s="474"/>
      <c r="O20" s="474"/>
    </row>
    <row r="21" spans="2:15" s="3" customFormat="1">
      <c r="B21" s="313" t="s">
        <v>253</v>
      </c>
      <c r="C21" s="313"/>
      <c r="D21" s="313"/>
      <c r="E21" s="313"/>
      <c r="F21" s="313"/>
      <c r="G21" s="313"/>
      <c r="H21" s="313"/>
      <c r="I21" s="313"/>
      <c r="J21" s="313"/>
      <c r="K21" s="313"/>
      <c r="L21" s="313"/>
      <c r="M21" s="313"/>
      <c r="N21" s="313"/>
      <c r="O21" s="88"/>
    </row>
    <row r="22" spans="2:15" s="3" customFormat="1">
      <c r="B22" s="235" t="s">
        <v>423</v>
      </c>
      <c r="C22" s="235"/>
      <c r="D22" s="236"/>
      <c r="E22" s="87"/>
      <c r="F22" s="87"/>
      <c r="G22" s="87"/>
      <c r="H22" s="87"/>
      <c r="I22" s="14"/>
      <c r="J22" s="14"/>
      <c r="K22" s="14"/>
      <c r="L22" s="14"/>
      <c r="M22" s="14"/>
      <c r="N22" s="14"/>
      <c r="O22" s="54"/>
    </row>
    <row r="23" spans="2:15" s="3" customFormat="1" ht="12.75" customHeight="1">
      <c r="B23" s="62"/>
      <c r="C23" s="62"/>
      <c r="D23" s="62"/>
      <c r="E23" s="62"/>
      <c r="F23" s="62"/>
      <c r="G23" s="62"/>
      <c r="H23" s="62"/>
      <c r="I23" s="59"/>
      <c r="J23" s="54"/>
      <c r="K23" s="54"/>
      <c r="L23" s="462" t="s">
        <v>36</v>
      </c>
      <c r="M23" s="462"/>
      <c r="N23" s="462"/>
      <c r="O23" s="105">
        <f>Stat_Silica!T10</f>
        <v>0</v>
      </c>
    </row>
    <row r="24" spans="2:15" s="3" customFormat="1" ht="12.75" customHeight="1">
      <c r="B24" s="62"/>
      <c r="C24" s="62"/>
      <c r="D24" s="62"/>
      <c r="E24" s="62"/>
      <c r="F24" s="62"/>
      <c r="G24" s="62"/>
      <c r="H24" s="62"/>
      <c r="I24" s="59"/>
      <c r="J24" s="54"/>
      <c r="K24" s="54"/>
      <c r="L24" s="462" t="s">
        <v>37</v>
      </c>
      <c r="M24" s="462"/>
      <c r="N24" s="462"/>
      <c r="O24" s="105" t="e">
        <f>Stat_Silica!T11</f>
        <v>#DIV/0!</v>
      </c>
    </row>
    <row r="25" spans="2:15" s="3" customFormat="1" ht="12.75" customHeight="1">
      <c r="B25" s="62"/>
      <c r="C25" s="62"/>
      <c r="D25" s="62"/>
      <c r="E25" s="62"/>
      <c r="F25" s="62"/>
      <c r="G25" s="62"/>
      <c r="H25" s="62"/>
      <c r="I25" s="59"/>
      <c r="J25" s="54"/>
      <c r="K25" s="54"/>
      <c r="L25" s="462" t="s">
        <v>39</v>
      </c>
      <c r="M25" s="462"/>
      <c r="N25" s="462"/>
      <c r="O25" s="105" t="e">
        <f>Stat_Silica!T13</f>
        <v>#DIV/0!</v>
      </c>
    </row>
    <row r="26" spans="2:15" s="3" customFormat="1" ht="12.75" customHeight="1">
      <c r="B26" s="62"/>
      <c r="C26" s="62"/>
      <c r="D26" s="62"/>
      <c r="E26" s="62"/>
      <c r="F26" s="62"/>
      <c r="G26" s="62"/>
      <c r="H26" s="62"/>
      <c r="I26" s="59"/>
      <c r="J26" s="54"/>
      <c r="K26" s="54"/>
      <c r="L26" s="462" t="s">
        <v>38</v>
      </c>
      <c r="M26" s="462"/>
      <c r="N26" s="462"/>
      <c r="O26" s="78" t="e">
        <f>Stat_Silica!T18</f>
        <v>#DIV/0!</v>
      </c>
    </row>
    <row r="27" spans="2:15" s="3" customFormat="1" ht="12.75" customHeight="1">
      <c r="B27" s="62"/>
      <c r="C27" s="62"/>
      <c r="D27" s="62"/>
      <c r="E27" s="62"/>
      <c r="F27" s="62"/>
      <c r="G27" s="62"/>
      <c r="H27" s="62"/>
      <c r="I27" s="59"/>
      <c r="J27" s="54"/>
      <c r="K27" s="54"/>
      <c r="L27" s="462" t="s">
        <v>244</v>
      </c>
      <c r="M27" s="462"/>
      <c r="N27" s="462"/>
      <c r="O27" s="78" t="e">
        <f>Stat_Silica!T19</f>
        <v>#DIV/0!</v>
      </c>
    </row>
    <row r="28" spans="2:15" s="3" customFormat="1" ht="12.75" customHeight="1">
      <c r="B28" s="62"/>
      <c r="C28" s="62"/>
      <c r="D28" s="62"/>
      <c r="E28" s="62"/>
      <c r="F28" s="62"/>
      <c r="G28" s="62"/>
      <c r="H28" s="62"/>
      <c r="I28" s="59"/>
      <c r="J28" s="54"/>
      <c r="K28" s="54"/>
      <c r="L28" s="462" t="s">
        <v>40</v>
      </c>
      <c r="M28" s="462"/>
      <c r="N28" s="462"/>
      <c r="O28" s="78" t="e">
        <f>Stat_Silica!T29</f>
        <v>#DIV/0!</v>
      </c>
    </row>
    <row r="29" spans="2:15" s="3" customFormat="1" ht="12.75" customHeight="1">
      <c r="B29" s="62"/>
      <c r="C29" s="62"/>
      <c r="D29" s="62"/>
      <c r="E29" s="62"/>
      <c r="F29" s="62"/>
      <c r="G29" s="62"/>
      <c r="H29" s="62"/>
      <c r="I29" s="59"/>
      <c r="J29" s="462"/>
      <c r="K29" s="462"/>
      <c r="L29" s="462"/>
      <c r="M29" s="55"/>
      <c r="N29" s="54"/>
      <c r="O29" s="106"/>
    </row>
    <row r="30" spans="2:15" s="3" customFormat="1" ht="12.75" customHeight="1">
      <c r="B30" s="62"/>
      <c r="C30" s="62"/>
      <c r="D30" s="62"/>
      <c r="E30" s="62"/>
      <c r="F30" s="62"/>
      <c r="G30" s="62"/>
      <c r="H30" s="62"/>
      <c r="I30" s="59"/>
      <c r="J30" s="64"/>
      <c r="K30" s="64"/>
      <c r="L30" s="64"/>
      <c r="M30" s="55"/>
      <c r="N30" s="54"/>
      <c r="O30" s="54"/>
    </row>
    <row r="31" spans="2:15" s="3" customFormat="1" ht="12.75" customHeight="1">
      <c r="B31" s="62"/>
      <c r="C31" s="62"/>
      <c r="D31" s="62"/>
      <c r="E31" s="62"/>
      <c r="F31" s="62"/>
      <c r="G31" s="62"/>
      <c r="H31" s="62"/>
      <c r="I31" s="59"/>
      <c r="J31" s="64"/>
      <c r="K31" s="64"/>
      <c r="L31" s="64"/>
      <c r="M31" s="55"/>
      <c r="N31" s="54"/>
      <c r="O31" s="54"/>
    </row>
    <row r="32" spans="2:15" s="3" customFormat="1" ht="12.75" customHeight="1">
      <c r="B32" s="62"/>
      <c r="C32" s="62"/>
      <c r="D32" s="62"/>
      <c r="E32" s="62"/>
      <c r="F32" s="62"/>
      <c r="G32" s="62"/>
      <c r="H32" s="62"/>
      <c r="I32" s="59"/>
      <c r="J32" s="64"/>
      <c r="K32" s="64"/>
      <c r="L32" s="64"/>
      <c r="M32" s="55"/>
      <c r="N32" s="54"/>
      <c r="O32" s="54"/>
    </row>
    <row r="33" spans="2:15" s="3" customFormat="1" ht="12.75" customHeight="1">
      <c r="B33" s="62"/>
      <c r="C33" s="62"/>
      <c r="D33" s="62"/>
      <c r="E33" s="62"/>
      <c r="F33" s="62"/>
      <c r="G33" s="62"/>
      <c r="H33" s="62"/>
      <c r="I33" s="59"/>
      <c r="J33" s="64"/>
      <c r="K33" s="64"/>
      <c r="L33" s="64"/>
      <c r="M33" s="55"/>
      <c r="N33" s="54"/>
      <c r="O33" s="54"/>
    </row>
    <row r="34" spans="2:15" s="3" customFormat="1" ht="12.75" customHeight="1">
      <c r="B34" s="62"/>
      <c r="C34" s="62"/>
      <c r="D34" s="62"/>
      <c r="E34" s="62"/>
      <c r="F34" s="62"/>
      <c r="G34" s="62"/>
      <c r="H34" s="62"/>
      <c r="I34" s="59"/>
      <c r="J34" s="64"/>
      <c r="K34" s="64"/>
      <c r="L34" s="64"/>
      <c r="M34" s="55"/>
      <c r="N34" s="54"/>
      <c r="O34" s="54"/>
    </row>
    <row r="35" spans="2:15" s="3" customFormat="1" ht="12.75" customHeight="1">
      <c r="C35" s="62"/>
      <c r="D35" s="62"/>
      <c r="E35" s="62"/>
      <c r="F35" s="62"/>
      <c r="G35" s="62"/>
      <c r="H35" s="62"/>
      <c r="I35" s="59"/>
      <c r="J35" s="64"/>
      <c r="K35" s="64"/>
      <c r="L35" s="64"/>
      <c r="M35" s="55"/>
      <c r="N35" s="54"/>
      <c r="O35" s="54"/>
    </row>
    <row r="36" spans="2:15" s="3" customFormat="1" ht="12.75" customHeight="1">
      <c r="B36" s="62"/>
      <c r="C36" s="62"/>
      <c r="D36" s="62"/>
      <c r="E36" s="62"/>
      <c r="F36" s="62"/>
      <c r="G36" s="62"/>
      <c r="H36" s="62"/>
      <c r="I36" s="59"/>
      <c r="J36" s="64"/>
      <c r="K36" s="64"/>
    </row>
    <row r="37" spans="2:15" s="3" customFormat="1" ht="12.75" customHeight="1">
      <c r="B37" s="86" t="s">
        <v>339</v>
      </c>
      <c r="C37" s="62"/>
      <c r="D37" s="62"/>
      <c r="E37" s="62"/>
      <c r="F37" s="62"/>
      <c r="G37" s="62"/>
      <c r="H37" s="62"/>
      <c r="I37" s="59"/>
      <c r="J37" s="64"/>
      <c r="K37" s="64"/>
    </row>
    <row r="38" spans="2:15" s="3" customFormat="1" ht="12.75" customHeight="1">
      <c r="B38" s="54"/>
      <c r="C38" s="90"/>
      <c r="D38" s="84"/>
      <c r="E38" s="84"/>
      <c r="F38" s="84"/>
      <c r="G38" s="84"/>
      <c r="H38" s="84"/>
      <c r="I38" s="85"/>
      <c r="J38" s="64"/>
      <c r="K38" s="64"/>
    </row>
    <row r="39" spans="2:15" s="3" customFormat="1" ht="12.75" customHeight="1">
      <c r="B39" s="84"/>
      <c r="C39" s="84"/>
      <c r="D39" s="84"/>
      <c r="E39" s="84"/>
      <c r="F39" s="84"/>
      <c r="G39" s="84"/>
      <c r="H39" s="84"/>
      <c r="I39" s="85"/>
      <c r="J39" s="64"/>
      <c r="K39" s="64"/>
      <c r="L39" s="462" t="s">
        <v>36</v>
      </c>
      <c r="M39" s="462"/>
      <c r="N39" s="462"/>
      <c r="O39" s="105">
        <f>Stat_Poeira!T10</f>
        <v>0</v>
      </c>
    </row>
    <row r="40" spans="2:15" s="3" customFormat="1">
      <c r="B40" s="62"/>
      <c r="C40" s="62"/>
      <c r="D40" s="62"/>
      <c r="E40" s="62"/>
      <c r="F40" s="62"/>
      <c r="G40" s="62"/>
      <c r="H40" s="62"/>
      <c r="I40" s="65"/>
      <c r="J40" s="65"/>
      <c r="K40" s="14"/>
      <c r="L40" s="462" t="s">
        <v>37</v>
      </c>
      <c r="M40" s="462"/>
      <c r="N40" s="462"/>
      <c r="O40" s="78" t="e">
        <f>Stat_Poeira!T11</f>
        <v>#DIV/0!</v>
      </c>
    </row>
    <row r="41" spans="2:15" s="3" customFormat="1" ht="12.75" customHeight="1">
      <c r="B41" s="54"/>
      <c r="C41" s="14"/>
      <c r="D41" s="14"/>
      <c r="E41" s="14"/>
      <c r="F41" s="14"/>
      <c r="G41" s="14"/>
      <c r="H41" s="14"/>
      <c r="I41" s="14"/>
      <c r="J41" s="14"/>
      <c r="K41" s="14"/>
      <c r="L41" s="462" t="s">
        <v>39</v>
      </c>
      <c r="M41" s="462"/>
      <c r="N41" s="462"/>
      <c r="O41" s="78" t="e">
        <f>Stat_Poeira!T13</f>
        <v>#DIV/0!</v>
      </c>
    </row>
    <row r="42" spans="2:15" s="3" customFormat="1" ht="12.75" customHeight="1">
      <c r="B42" s="62"/>
      <c r="C42" s="62"/>
      <c r="D42" s="62"/>
      <c r="E42" s="62"/>
      <c r="F42" s="62"/>
      <c r="G42" s="62"/>
      <c r="H42" s="62"/>
      <c r="I42" s="59"/>
      <c r="J42" s="54"/>
      <c r="K42" s="54"/>
      <c r="L42" s="462" t="s">
        <v>38</v>
      </c>
      <c r="M42" s="462"/>
      <c r="N42" s="462"/>
      <c r="O42" s="78" t="e">
        <f>Stat_Poeira!T18</f>
        <v>#DIV/0!</v>
      </c>
    </row>
    <row r="43" spans="2:15" s="3" customFormat="1" ht="12.75" customHeight="1">
      <c r="B43" s="62"/>
      <c r="C43" s="62"/>
      <c r="D43" s="62"/>
      <c r="E43" s="62"/>
      <c r="F43" s="62"/>
      <c r="G43" s="62"/>
      <c r="H43" s="62"/>
      <c r="I43" s="59"/>
      <c r="J43" s="54"/>
      <c r="K43" s="54"/>
      <c r="L43" s="462" t="s">
        <v>244</v>
      </c>
      <c r="M43" s="462"/>
      <c r="N43" s="462"/>
      <c r="O43" s="78" t="e">
        <f>Stat_Poeira!T19</f>
        <v>#DIV/0!</v>
      </c>
    </row>
    <row r="44" spans="2:15" s="3" customFormat="1" ht="12.75" customHeight="1">
      <c r="B44" s="62"/>
      <c r="C44" s="62"/>
      <c r="D44" s="62"/>
      <c r="E44" s="62"/>
      <c r="F44" s="62"/>
      <c r="G44" s="62"/>
      <c r="H44" s="62"/>
      <c r="I44" s="59"/>
      <c r="J44" s="54"/>
      <c r="K44" s="54"/>
      <c r="L44" s="462" t="s">
        <v>40</v>
      </c>
      <c r="M44" s="462"/>
      <c r="N44" s="462"/>
      <c r="O44" s="78" t="e">
        <f>Stat_Poeira!T29</f>
        <v>#DIV/0!</v>
      </c>
    </row>
    <row r="45" spans="2:15" s="3" customFormat="1" ht="12.75" customHeight="1">
      <c r="B45" s="62"/>
      <c r="C45" s="62"/>
      <c r="D45" s="62"/>
      <c r="E45" s="62"/>
      <c r="F45" s="62"/>
      <c r="G45" s="62"/>
      <c r="H45" s="62"/>
      <c r="I45" s="59"/>
      <c r="J45" s="54"/>
      <c r="K45" s="54"/>
      <c r="O45" s="54"/>
    </row>
    <row r="46" spans="2:15" s="3" customFormat="1" ht="12.75" customHeight="1">
      <c r="B46" s="62"/>
      <c r="C46" s="62"/>
      <c r="D46" s="62"/>
      <c r="E46" s="62"/>
      <c r="F46" s="62"/>
      <c r="G46" s="62"/>
      <c r="H46" s="62"/>
      <c r="I46" s="59"/>
      <c r="J46" s="54"/>
      <c r="K46" s="54"/>
      <c r="O46" s="54"/>
    </row>
    <row r="47" spans="2:15" s="3" customFormat="1" ht="12.75" customHeight="1">
      <c r="B47" s="62"/>
      <c r="C47" s="62"/>
      <c r="D47" s="62"/>
      <c r="E47" s="62"/>
      <c r="F47" s="62"/>
      <c r="G47" s="62"/>
      <c r="H47" s="62"/>
      <c r="I47" s="59"/>
      <c r="J47" s="54"/>
      <c r="K47" s="54"/>
      <c r="O47" s="54"/>
    </row>
    <row r="48" spans="2:15" s="3" customFormat="1" ht="12.75" customHeight="1">
      <c r="B48" s="62"/>
      <c r="C48" s="62"/>
      <c r="D48" s="62"/>
      <c r="E48" s="62"/>
      <c r="F48" s="62"/>
      <c r="G48" s="62"/>
      <c r="H48" s="62"/>
      <c r="I48" s="59"/>
      <c r="J48" s="64"/>
      <c r="K48" s="64"/>
      <c r="O48" s="54"/>
    </row>
    <row r="49" spans="2:15" s="3" customFormat="1" ht="12.75" customHeight="1">
      <c r="B49" s="62"/>
      <c r="C49" s="62"/>
      <c r="D49" s="62"/>
      <c r="E49" s="62"/>
      <c r="F49" s="62"/>
      <c r="G49" s="62"/>
      <c r="H49" s="62"/>
      <c r="I49" s="59"/>
      <c r="J49" s="64"/>
      <c r="K49" s="64"/>
      <c r="L49" s="64"/>
      <c r="M49" s="55"/>
      <c r="N49" s="54"/>
      <c r="O49" s="54"/>
    </row>
    <row r="50" spans="2:15" s="3" customFormat="1" ht="12.75" customHeight="1">
      <c r="B50" s="62"/>
      <c r="C50" s="62"/>
      <c r="D50" s="62"/>
      <c r="E50" s="62"/>
      <c r="F50" s="62"/>
      <c r="G50" s="62"/>
      <c r="H50" s="62"/>
      <c r="I50" s="59"/>
      <c r="J50" s="64"/>
      <c r="K50" s="64"/>
      <c r="L50" s="64"/>
      <c r="M50" s="55"/>
      <c r="N50" s="54"/>
      <c r="O50" s="54"/>
    </row>
    <row r="51" spans="2:15" s="3" customFormat="1" ht="12.75" customHeight="1">
      <c r="B51" s="62"/>
      <c r="C51" s="62"/>
      <c r="D51" s="62"/>
      <c r="E51" s="62"/>
      <c r="F51" s="62"/>
      <c r="G51" s="62"/>
      <c r="H51" s="62"/>
      <c r="I51" s="59"/>
      <c r="J51" s="64"/>
      <c r="K51" s="64"/>
      <c r="L51" s="64"/>
      <c r="M51" s="55"/>
      <c r="N51" s="54"/>
      <c r="O51" s="54"/>
    </row>
    <row r="52" spans="2:15" s="3" customFormat="1" ht="12.75" customHeight="1" thickBot="1">
      <c r="B52" s="7"/>
      <c r="C52" s="7"/>
      <c r="D52" s="7"/>
      <c r="E52" s="7"/>
      <c r="F52" s="7"/>
      <c r="G52" s="7"/>
      <c r="H52" s="7"/>
      <c r="I52" s="91"/>
      <c r="J52" s="92"/>
      <c r="K52" s="92"/>
      <c r="L52" s="92"/>
      <c r="M52" s="93"/>
      <c r="N52" s="89"/>
      <c r="O52" s="89"/>
    </row>
    <row r="53" spans="2:15" s="3" customFormat="1">
      <c r="B53" s="11"/>
      <c r="C53" s="11"/>
      <c r="D53" s="12"/>
      <c r="E53" s="12"/>
      <c r="F53" s="12"/>
      <c r="G53" s="12"/>
      <c r="H53" s="12"/>
      <c r="I53" s="12"/>
      <c r="J53" s="13"/>
      <c r="K53" s="11"/>
      <c r="L53" s="11"/>
      <c r="M53" s="11"/>
      <c r="N53" s="11"/>
      <c r="O53" s="54"/>
    </row>
    <row r="54" spans="2:15" s="3" customFormat="1" ht="13.8" thickBot="1">
      <c r="B54" s="11"/>
      <c r="C54" s="11"/>
      <c r="D54" s="12"/>
      <c r="E54" s="12"/>
      <c r="F54" s="12"/>
      <c r="G54" s="12"/>
      <c r="H54" s="12"/>
      <c r="I54" s="12"/>
      <c r="J54" s="13"/>
      <c r="K54" s="11"/>
      <c r="L54" s="11"/>
      <c r="M54" s="11"/>
      <c r="N54" s="11"/>
      <c r="O54" s="54"/>
    </row>
    <row r="55" spans="2:15" s="3" customFormat="1" ht="12.75" customHeight="1" thickBot="1">
      <c r="B55" s="392" t="s">
        <v>282</v>
      </c>
      <c r="C55" s="392"/>
      <c r="D55" s="392"/>
      <c r="E55" s="392"/>
      <c r="F55" s="392"/>
      <c r="G55" s="392"/>
      <c r="H55" s="392"/>
      <c r="I55" s="392"/>
      <c r="J55" s="392"/>
      <c r="K55" s="392"/>
      <c r="L55" s="392"/>
      <c r="M55" s="392"/>
      <c r="N55" s="392"/>
      <c r="O55" s="392"/>
    </row>
    <row r="56" spans="2:15" s="3" customFormat="1" ht="41.25" customHeight="1">
      <c r="B56" s="461" t="s">
        <v>280</v>
      </c>
      <c r="C56" s="461"/>
      <c r="D56" s="461"/>
      <c r="E56" s="461"/>
      <c r="F56" s="461"/>
      <c r="G56" s="461"/>
      <c r="H56" s="461"/>
      <c r="I56" s="463" t="s">
        <v>283</v>
      </c>
      <c r="J56" s="464"/>
      <c r="K56" s="465"/>
      <c r="L56" s="461" t="s">
        <v>251</v>
      </c>
      <c r="M56" s="461"/>
      <c r="N56" s="461"/>
      <c r="O56" s="461"/>
    </row>
    <row r="57" spans="2:15" s="3" customFormat="1">
      <c r="B57" s="380"/>
      <c r="C57" s="380"/>
      <c r="D57" s="380"/>
      <c r="E57" s="380"/>
      <c r="F57" s="380"/>
      <c r="G57" s="380"/>
      <c r="H57" s="380"/>
      <c r="I57" s="460"/>
      <c r="J57" s="460"/>
      <c r="K57" s="460"/>
      <c r="L57" s="380"/>
      <c r="M57" s="380"/>
      <c r="N57" s="380"/>
      <c r="O57" s="380"/>
    </row>
    <row r="58" spans="2:15" s="3" customFormat="1">
      <c r="B58" s="380"/>
      <c r="C58" s="380"/>
      <c r="D58" s="380"/>
      <c r="E58" s="380"/>
      <c r="F58" s="380"/>
      <c r="G58" s="380"/>
      <c r="H58" s="380"/>
      <c r="I58" s="460"/>
      <c r="J58" s="460"/>
      <c r="K58" s="460"/>
      <c r="L58" s="380"/>
      <c r="M58" s="380"/>
      <c r="N58" s="380"/>
      <c r="O58" s="380"/>
    </row>
    <row r="59" spans="2:15" s="3" customFormat="1">
      <c r="B59" s="380"/>
      <c r="C59" s="380"/>
      <c r="D59" s="380"/>
      <c r="E59" s="380"/>
      <c r="F59" s="380"/>
      <c r="G59" s="380"/>
      <c r="H59" s="380"/>
      <c r="I59" s="460"/>
      <c r="J59" s="460"/>
      <c r="K59" s="460"/>
      <c r="L59" s="380"/>
      <c r="M59" s="380"/>
      <c r="N59" s="380"/>
      <c r="O59" s="380"/>
    </row>
    <row r="60" spans="2:15" s="3" customFormat="1" ht="13.8" thickBot="1">
      <c r="B60" s="157"/>
      <c r="C60" s="157"/>
      <c r="D60" s="157"/>
      <c r="E60" s="157"/>
      <c r="F60" s="157"/>
      <c r="G60" s="157"/>
      <c r="H60" s="157"/>
      <c r="I60" s="139"/>
      <c r="J60" s="139"/>
      <c r="K60" s="139"/>
      <c r="L60" s="157"/>
      <c r="M60" s="157"/>
      <c r="N60" s="157"/>
      <c r="O60" s="157"/>
    </row>
    <row r="61" spans="2:15" ht="12.75" customHeight="1" thickBot="1">
      <c r="B61" s="313" t="s">
        <v>281</v>
      </c>
      <c r="C61" s="313"/>
      <c r="D61" s="313"/>
      <c r="E61" s="313"/>
      <c r="F61" s="313"/>
      <c r="G61" s="313"/>
      <c r="H61" s="313"/>
      <c r="I61" s="313"/>
      <c r="J61" s="313"/>
      <c r="K61" s="313"/>
      <c r="L61" s="313"/>
      <c r="M61" s="313"/>
      <c r="N61" s="313"/>
      <c r="O61" s="313"/>
    </row>
    <row r="62" spans="2:15" ht="53.25" customHeight="1" thickBot="1">
      <c r="B62" s="313"/>
      <c r="C62" s="313"/>
      <c r="D62" s="313"/>
      <c r="E62" s="313"/>
      <c r="F62" s="313"/>
      <c r="G62" s="313"/>
      <c r="H62" s="313"/>
      <c r="I62" s="313"/>
      <c r="J62" s="313"/>
      <c r="K62" s="313"/>
      <c r="L62" s="313"/>
      <c r="M62" s="313"/>
      <c r="N62" s="313"/>
      <c r="O62" s="313"/>
    </row>
    <row r="63" spans="2:15" ht="12.75" customHeight="1">
      <c r="B63" s="313" t="s">
        <v>13</v>
      </c>
      <c r="C63" s="313"/>
      <c r="D63" s="313"/>
      <c r="E63" s="313"/>
      <c r="F63" s="313"/>
      <c r="G63" s="313"/>
      <c r="H63" s="313"/>
      <c r="I63" s="313"/>
      <c r="J63" s="313"/>
      <c r="K63" s="313"/>
      <c r="L63" s="313"/>
      <c r="M63" s="313"/>
      <c r="N63" s="313"/>
      <c r="O63" s="313"/>
    </row>
    <row r="64" spans="2:15" ht="66" customHeight="1" thickBot="1">
      <c r="B64" s="424"/>
      <c r="C64" s="424"/>
      <c r="D64" s="424"/>
      <c r="E64" s="424"/>
      <c r="F64" s="424"/>
      <c r="G64" s="424"/>
      <c r="H64" s="424"/>
      <c r="I64" s="424"/>
      <c r="J64" s="424"/>
      <c r="K64" s="424"/>
      <c r="L64" s="424"/>
      <c r="M64" s="424"/>
      <c r="N64" s="424"/>
      <c r="O64" s="424"/>
    </row>
    <row r="65" spans="2:15" ht="12.75" customHeight="1">
      <c r="B65" s="313" t="s">
        <v>301</v>
      </c>
      <c r="C65" s="313"/>
      <c r="D65" s="313"/>
      <c r="E65" s="313"/>
      <c r="F65" s="313"/>
      <c r="G65" s="313"/>
      <c r="H65" s="313"/>
      <c r="I65" s="313"/>
      <c r="J65" s="313"/>
      <c r="K65" s="313"/>
      <c r="L65" s="313"/>
      <c r="M65" s="313"/>
      <c r="N65" s="313"/>
      <c r="O65" s="313"/>
    </row>
    <row r="66" spans="2:15" ht="57" customHeight="1" thickBot="1">
      <c r="B66" s="311"/>
      <c r="C66" s="311"/>
      <c r="D66" s="311"/>
      <c r="E66" s="311"/>
      <c r="F66" s="311"/>
      <c r="G66" s="311"/>
      <c r="H66" s="311"/>
      <c r="I66" s="311"/>
      <c r="J66" s="311"/>
      <c r="K66" s="311"/>
      <c r="L66" s="311"/>
      <c r="M66" s="311"/>
      <c r="N66" s="311"/>
      <c r="O66" s="311"/>
    </row>
    <row r="67" spans="2:15" ht="12.75" customHeight="1">
      <c r="B67" s="313" t="s">
        <v>302</v>
      </c>
      <c r="C67" s="313"/>
      <c r="D67" s="313"/>
      <c r="E67" s="313"/>
      <c r="F67" s="313"/>
      <c r="G67" s="313"/>
      <c r="H67" s="313"/>
      <c r="I67" s="313"/>
      <c r="J67" s="313"/>
      <c r="K67" s="313"/>
      <c r="L67" s="313"/>
      <c r="M67" s="313"/>
      <c r="N67" s="313"/>
      <c r="O67" s="313"/>
    </row>
    <row r="68" spans="2:15" ht="66.75" customHeight="1" thickBot="1">
      <c r="B68" s="310"/>
      <c r="C68" s="310"/>
      <c r="D68" s="310"/>
      <c r="E68" s="310"/>
      <c r="F68" s="310"/>
      <c r="G68" s="310"/>
      <c r="H68" s="310"/>
      <c r="I68" s="310"/>
      <c r="J68" s="310"/>
      <c r="K68" s="310"/>
      <c r="L68" s="310"/>
      <c r="M68" s="310"/>
      <c r="N68" s="310"/>
      <c r="O68" s="310"/>
    </row>
    <row r="69" spans="2:15" ht="12.75" customHeight="1">
      <c r="B69" s="313" t="s">
        <v>14</v>
      </c>
      <c r="C69" s="313"/>
      <c r="D69" s="313"/>
      <c r="E69" s="313"/>
      <c r="F69" s="313"/>
      <c r="G69" s="313"/>
      <c r="H69" s="313"/>
      <c r="I69" s="313"/>
      <c r="J69" s="313"/>
      <c r="K69" s="313"/>
      <c r="L69" s="313"/>
      <c r="M69" s="313"/>
      <c r="N69" s="313"/>
      <c r="O69" s="313"/>
    </row>
    <row r="70" spans="2:15" ht="12.75" customHeight="1">
      <c r="B70" s="402" t="s">
        <v>15</v>
      </c>
      <c r="C70" s="403"/>
      <c r="D70" s="403"/>
      <c r="E70" s="403"/>
      <c r="F70" s="403"/>
      <c r="G70" s="403"/>
      <c r="H70" s="404"/>
      <c r="I70" s="402" t="s">
        <v>16</v>
      </c>
      <c r="J70" s="403"/>
      <c r="K70" s="403"/>
      <c r="L70" s="404"/>
      <c r="M70" s="402" t="s">
        <v>17</v>
      </c>
      <c r="N70" s="403"/>
      <c r="O70" s="404"/>
    </row>
    <row r="71" spans="2:15" ht="66.75" customHeight="1">
      <c r="B71" s="478"/>
      <c r="C71" s="479"/>
      <c r="D71" s="479"/>
      <c r="E71" s="479"/>
      <c r="F71" s="479"/>
      <c r="G71" s="479"/>
      <c r="H71" s="432"/>
      <c r="I71" s="478"/>
      <c r="J71" s="479"/>
      <c r="K71" s="479"/>
      <c r="L71" s="432"/>
      <c r="M71" s="478"/>
      <c r="N71" s="479"/>
      <c r="O71" s="432"/>
    </row>
    <row r="73" spans="2:15">
      <c r="C73" s="116"/>
    </row>
    <row r="74" spans="2:15">
      <c r="C74" s="116"/>
    </row>
  </sheetData>
  <mergeCells count="85">
    <mergeCell ref="D4:K4"/>
    <mergeCell ref="O2:O3"/>
    <mergeCell ref="L2:N3"/>
    <mergeCell ref="L42:N42"/>
    <mergeCell ref="L28:N28"/>
    <mergeCell ref="B20:O20"/>
    <mergeCell ref="L43:N43"/>
    <mergeCell ref="B21:N21"/>
    <mergeCell ref="B17:B18"/>
    <mergeCell ref="J29:L29"/>
    <mergeCell ref="L39:N39"/>
    <mergeCell ref="J5:K5"/>
    <mergeCell ref="L4:O4"/>
    <mergeCell ref="B2:C3"/>
    <mergeCell ref="D2:K3"/>
    <mergeCell ref="L5:M5"/>
    <mergeCell ref="G18:H18"/>
    <mergeCell ref="G19:H19"/>
    <mergeCell ref="L44:N44"/>
    <mergeCell ref="I59:K59"/>
    <mergeCell ref="I70:L70"/>
    <mergeCell ref="M70:O70"/>
    <mergeCell ref="B61:O61"/>
    <mergeCell ref="B62:O62"/>
    <mergeCell ref="B63:O63"/>
    <mergeCell ref="B64:O64"/>
    <mergeCell ref="B55:O55"/>
    <mergeCell ref="B57:H57"/>
    <mergeCell ref="B71:H71"/>
    <mergeCell ref="I71:L71"/>
    <mergeCell ref="M71:O71"/>
    <mergeCell ref="B70:H70"/>
    <mergeCell ref="B67:O67"/>
    <mergeCell ref="B68:O68"/>
    <mergeCell ref="B69:O69"/>
    <mergeCell ref="B13:O13"/>
    <mergeCell ref="B14:O14"/>
    <mergeCell ref="K18:L18"/>
    <mergeCell ref="K19:L19"/>
    <mergeCell ref="N10:O10"/>
    <mergeCell ref="C18:D18"/>
    <mergeCell ref="C19:D19"/>
    <mergeCell ref="L41:N41"/>
    <mergeCell ref="B4:C4"/>
    <mergeCell ref="B15:O15"/>
    <mergeCell ref="C17:J17"/>
    <mergeCell ref="F5:F6"/>
    <mergeCell ref="G5:G6"/>
    <mergeCell ref="H5:H6"/>
    <mergeCell ref="C5:C6"/>
    <mergeCell ref="D5:D6"/>
    <mergeCell ref="B5:B6"/>
    <mergeCell ref="N12:O12"/>
    <mergeCell ref="I5:I6"/>
    <mergeCell ref="L24:N24"/>
    <mergeCell ref="E18:F18"/>
    <mergeCell ref="E19:F19"/>
    <mergeCell ref="K17:O17"/>
    <mergeCell ref="B65:O65"/>
    <mergeCell ref="B66:O66"/>
    <mergeCell ref="I58:K58"/>
    <mergeCell ref="L56:O56"/>
    <mergeCell ref="L57:O57"/>
    <mergeCell ref="L58:O58"/>
    <mergeCell ref="L59:O59"/>
    <mergeCell ref="B56:H56"/>
    <mergeCell ref="B58:H58"/>
    <mergeCell ref="I56:K56"/>
    <mergeCell ref="I57:K57"/>
    <mergeCell ref="M19:N19"/>
    <mergeCell ref="B59:H59"/>
    <mergeCell ref="K16:O16"/>
    <mergeCell ref="C16:J16"/>
    <mergeCell ref="N5:O6"/>
    <mergeCell ref="N7:O7"/>
    <mergeCell ref="N8:O8"/>
    <mergeCell ref="E5:E6"/>
    <mergeCell ref="N9:O9"/>
    <mergeCell ref="N11:O11"/>
    <mergeCell ref="M18:N18"/>
    <mergeCell ref="L25:N25"/>
    <mergeCell ref="L26:N26"/>
    <mergeCell ref="L27:N27"/>
    <mergeCell ref="L23:N23"/>
    <mergeCell ref="L40:N40"/>
  </mergeCells>
  <phoneticPr fontId="2" type="noConversion"/>
  <printOptions horizontalCentered="1"/>
  <pageMargins left="0.39370078740157483" right="0.39370078740157483" top="0.51181102362204722" bottom="0.51181102362204722" header="0.31496062992125984" footer="0.31496062992125984"/>
  <pageSetup paperSize="9" orientation="portrait" r:id="rId1"/>
  <headerFooter>
    <oddFooter>&amp;RRevisão: 00          
11.06.2012</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X416"/>
  <sheetViews>
    <sheetView zoomScale="75" workbookViewId="0">
      <selection activeCell="B7" sqref="B7"/>
    </sheetView>
  </sheetViews>
  <sheetFormatPr defaultColWidth="11.44140625" defaultRowHeight="13.2"/>
  <cols>
    <col min="1" max="1" width="11.88671875" style="28" customWidth="1"/>
    <col min="2" max="2" width="5.33203125" style="28" customWidth="1"/>
    <col min="3" max="8" width="0" style="29" hidden="1" customWidth="1"/>
    <col min="9" max="9" width="12.44140625" style="29" hidden="1" customWidth="1"/>
    <col min="10" max="10" width="8.109375" style="29" hidden="1" customWidth="1"/>
    <col min="11" max="17" width="0" style="29" hidden="1" customWidth="1"/>
    <col min="18" max="18" width="24.88671875" style="29" hidden="1" customWidth="1"/>
    <col min="19" max="19" width="21.44140625" style="30" customWidth="1"/>
    <col min="20" max="20" width="11.109375" style="28" customWidth="1"/>
    <col min="21" max="21" width="11.44140625" style="28" customWidth="1"/>
    <col min="22" max="22" width="10.5546875" style="28" customWidth="1"/>
    <col min="23" max="16384" width="11.44140625" style="28"/>
  </cols>
  <sheetData>
    <row r="1" spans="1:20" s="18" customFormat="1" ht="18">
      <c r="A1" s="17" t="s">
        <v>44</v>
      </c>
      <c r="C1" s="19"/>
      <c r="D1" s="19"/>
      <c r="E1" s="19"/>
      <c r="F1" s="19"/>
      <c r="G1" s="19"/>
      <c r="H1" s="19"/>
      <c r="I1" s="19"/>
      <c r="J1" s="19"/>
      <c r="K1" s="19"/>
      <c r="L1" s="19"/>
      <c r="M1" s="19"/>
      <c r="N1" s="19"/>
      <c r="O1" s="19"/>
      <c r="P1" s="19"/>
      <c r="Q1" s="19"/>
      <c r="R1" s="19"/>
      <c r="S1" s="20"/>
      <c r="T1" s="21"/>
    </row>
    <row r="2" spans="1:20" s="23" customFormat="1" ht="15.6">
      <c r="A2" s="22" t="s">
        <v>45</v>
      </c>
      <c r="C2" s="24"/>
      <c r="D2" s="24"/>
      <c r="E2" s="24"/>
      <c r="F2" s="24"/>
      <c r="G2" s="24"/>
      <c r="H2" s="24"/>
      <c r="I2" s="24"/>
      <c r="J2" s="24"/>
      <c r="K2" s="24"/>
      <c r="L2" s="24"/>
      <c r="M2" s="24"/>
      <c r="N2" s="24"/>
      <c r="O2" s="24"/>
      <c r="P2" s="24"/>
      <c r="Q2" s="24"/>
      <c r="R2" s="24"/>
      <c r="S2" s="25"/>
      <c r="T2" s="26"/>
    </row>
    <row r="3" spans="1:20" s="23" customFormat="1" ht="15.6">
      <c r="A3" s="22" t="s">
        <v>46</v>
      </c>
      <c r="C3" s="24"/>
      <c r="D3" s="24"/>
      <c r="E3" s="24"/>
      <c r="F3" s="24"/>
      <c r="G3" s="24"/>
      <c r="H3" s="24"/>
      <c r="I3" s="24"/>
      <c r="J3" s="24"/>
      <c r="K3" s="24"/>
      <c r="L3" s="24"/>
      <c r="M3" s="24"/>
      <c r="N3" s="24"/>
      <c r="O3" s="24"/>
      <c r="P3" s="24"/>
      <c r="Q3" s="24"/>
      <c r="R3" s="24"/>
      <c r="S3" s="25"/>
      <c r="T3" s="26"/>
    </row>
    <row r="4" spans="1:20">
      <c r="A4" s="27" t="s">
        <v>47</v>
      </c>
    </row>
    <row r="5" spans="1:20" ht="13.8" thickBot="1">
      <c r="A5" s="27"/>
    </row>
    <row r="6" spans="1:20" ht="14.4" thickTop="1" thickBot="1">
      <c r="A6" s="31" t="s">
        <v>48</v>
      </c>
      <c r="B6" s="32">
        <f>'Poeira Mineral - Respirável'!D19</f>
        <v>0</v>
      </c>
    </row>
    <row r="7" spans="1:20" ht="13.8" thickTop="1">
      <c r="A7" s="27"/>
      <c r="C7" s="28"/>
      <c r="D7" s="28"/>
      <c r="E7" s="28"/>
      <c r="F7" s="28"/>
      <c r="G7" s="28"/>
      <c r="H7" s="28"/>
      <c r="I7" s="28"/>
      <c r="J7" s="28"/>
      <c r="K7" s="28"/>
      <c r="L7" s="28"/>
      <c r="M7" s="28"/>
      <c r="N7" s="28"/>
      <c r="O7" s="28"/>
      <c r="P7" s="28"/>
      <c r="Q7" s="28"/>
      <c r="R7" s="28"/>
    </row>
    <row r="8" spans="1:20" ht="13.8" thickBot="1">
      <c r="A8" s="27"/>
      <c r="D8" s="29" t="s">
        <v>49</v>
      </c>
      <c r="F8" s="29" t="s">
        <v>50</v>
      </c>
      <c r="H8" s="29" t="s">
        <v>51</v>
      </c>
      <c r="I8" s="29" t="s">
        <v>52</v>
      </c>
    </row>
    <row r="9" spans="1:20" ht="13.8" thickTop="1">
      <c r="A9" s="33" t="s">
        <v>53</v>
      </c>
      <c r="C9" s="29" t="s">
        <v>54</v>
      </c>
      <c r="D9" s="29" t="s">
        <v>55</v>
      </c>
      <c r="E9" s="29" t="s">
        <v>56</v>
      </c>
      <c r="F9" s="29" t="s">
        <v>55</v>
      </c>
      <c r="G9" s="29" t="s">
        <v>56</v>
      </c>
      <c r="H9" s="29" t="s">
        <v>57</v>
      </c>
      <c r="I9" s="29" t="s">
        <v>58</v>
      </c>
      <c r="J9" s="29" t="s">
        <v>59</v>
      </c>
      <c r="K9" s="29" t="s">
        <v>60</v>
      </c>
      <c r="M9" s="29" t="s">
        <v>61</v>
      </c>
      <c r="N9" s="29" t="s">
        <v>62</v>
      </c>
      <c r="S9" s="34" t="s">
        <v>63</v>
      </c>
    </row>
    <row r="10" spans="1:20">
      <c r="A10" s="35" t="str">
        <f>IF('Poeira Mineral - Respirável'!J7="","",'Poeira Mineral - Respirável'!J7)</f>
        <v/>
      </c>
      <c r="C10" s="29" t="e">
        <f t="shared" ref="C10:C41" si="0">K74</f>
        <v>#VALUE!</v>
      </c>
      <c r="D10" s="36">
        <f t="shared" ref="D10:D22" si="1">$D$84</f>
        <v>0</v>
      </c>
      <c r="E10" s="29">
        <f>2.33 + 5</f>
        <v>7.33</v>
      </c>
      <c r="F10" s="29">
        <f t="shared" ref="F10:F22" si="2">CEILING($T$17,5)</f>
        <v>0</v>
      </c>
      <c r="G10" s="29">
        <f t="shared" ref="G10:G22" si="3">E10</f>
        <v>7.33</v>
      </c>
      <c r="H10" s="29" t="b">
        <f t="shared" ref="H10:H41" si="4">IF(ISNUMBER(N74),N74)</f>
        <v>0</v>
      </c>
      <c r="I10" s="29" t="b">
        <f t="shared" ref="I10:I41" si="5">IF(ISNUMBER(O74),O74)</f>
        <v>0</v>
      </c>
      <c r="J10" s="29">
        <f t="shared" ref="J10:J41" si="6">IF(A10&gt;$B$6,1,0)</f>
        <v>1</v>
      </c>
      <c r="K10" s="29" t="b">
        <f t="shared" ref="K10:K41" si="7">IF(ISNUMBER(N74),LN(N74))</f>
        <v>0</v>
      </c>
      <c r="M10" s="37" t="b">
        <f t="shared" ref="M10:M41" si="8">IF(ISNUMBER(A10),(A10-$T$11)^2)</f>
        <v>0</v>
      </c>
      <c r="N10" s="29" t="b">
        <f t="shared" ref="N10:N41" si="9">IF(ISNUMBER(K10),(K10-$T$20)^2)</f>
        <v>0</v>
      </c>
      <c r="S10" s="30" t="s">
        <v>64</v>
      </c>
      <c r="T10" s="38">
        <f>COUNT(A10:A60)</f>
        <v>0</v>
      </c>
    </row>
    <row r="11" spans="1:20">
      <c r="A11" s="35" t="str">
        <f>IF('Poeira Mineral - Respirável'!J8="","",'Poeira Mineral - Respirável'!J8)</f>
        <v/>
      </c>
      <c r="C11" s="29" t="e">
        <f t="shared" si="0"/>
        <v>#VALUE!</v>
      </c>
      <c r="D11" s="36">
        <f t="shared" si="1"/>
        <v>0</v>
      </c>
      <c r="E11" s="29">
        <f>5+2.05</f>
        <v>7.05</v>
      </c>
      <c r="F11" s="29">
        <f t="shared" si="2"/>
        <v>0</v>
      </c>
      <c r="G11" s="29">
        <f t="shared" si="3"/>
        <v>7.05</v>
      </c>
      <c r="H11" s="29" t="b">
        <f t="shared" si="4"/>
        <v>0</v>
      </c>
      <c r="I11" s="29" t="b">
        <f t="shared" si="5"/>
        <v>0</v>
      </c>
      <c r="J11" s="29">
        <f t="shared" si="6"/>
        <v>1</v>
      </c>
      <c r="K11" s="29" t="b">
        <f t="shared" si="7"/>
        <v>0</v>
      </c>
      <c r="M11" s="37" t="b">
        <f t="shared" si="8"/>
        <v>0</v>
      </c>
      <c r="N11" s="29" t="b">
        <f t="shared" si="9"/>
        <v>0</v>
      </c>
      <c r="S11" s="30" t="s">
        <v>65</v>
      </c>
      <c r="T11" s="38" t="e">
        <f>AVERAGE(A10:A60)</f>
        <v>#DIV/0!</v>
      </c>
    </row>
    <row r="12" spans="1:20">
      <c r="A12" s="35" t="str">
        <f>IF('Poeira Mineral - Respirável'!J9="","",'Poeira Mineral - Respirável'!J9)</f>
        <v/>
      </c>
      <c r="C12" s="29" t="e">
        <f t="shared" si="0"/>
        <v>#VALUE!</v>
      </c>
      <c r="D12" s="36">
        <f t="shared" si="1"/>
        <v>0</v>
      </c>
      <c r="E12" s="29">
        <f>5+1.645</f>
        <v>6.6449999999999996</v>
      </c>
      <c r="F12" s="29">
        <f t="shared" si="2"/>
        <v>0</v>
      </c>
      <c r="G12" s="29">
        <f t="shared" si="3"/>
        <v>6.6449999999999996</v>
      </c>
      <c r="H12" s="29" t="b">
        <f t="shared" si="4"/>
        <v>0</v>
      </c>
      <c r="I12" s="29" t="b">
        <f t="shared" si="5"/>
        <v>0</v>
      </c>
      <c r="J12" s="29">
        <f t="shared" si="6"/>
        <v>1</v>
      </c>
      <c r="K12" s="29" t="b">
        <f t="shared" si="7"/>
        <v>0</v>
      </c>
      <c r="M12" s="37" t="b">
        <f t="shared" si="8"/>
        <v>0</v>
      </c>
      <c r="N12" s="29" t="b">
        <f t="shared" si="9"/>
        <v>0</v>
      </c>
      <c r="S12" s="30" t="s">
        <v>66</v>
      </c>
      <c r="T12" s="38" t="e">
        <f>MEDIAN(A10:A60)</f>
        <v>#NUM!</v>
      </c>
    </row>
    <row r="13" spans="1:20">
      <c r="A13" s="35" t="str">
        <f>IF('Poeira Mineral - Respirável'!J10="","",'Poeira Mineral - Respirável'!J10)</f>
        <v/>
      </c>
      <c r="C13" s="29" t="e">
        <f t="shared" si="0"/>
        <v>#VALUE!</v>
      </c>
      <c r="D13" s="36">
        <f t="shared" si="1"/>
        <v>0</v>
      </c>
      <c r="E13" s="29">
        <f>5+1.28</f>
        <v>6.28</v>
      </c>
      <c r="F13" s="29">
        <f t="shared" si="2"/>
        <v>0</v>
      </c>
      <c r="G13" s="29">
        <f t="shared" si="3"/>
        <v>6.28</v>
      </c>
      <c r="H13" s="29" t="b">
        <f t="shared" si="4"/>
        <v>0</v>
      </c>
      <c r="I13" s="29" t="b">
        <f t="shared" si="5"/>
        <v>0</v>
      </c>
      <c r="J13" s="29">
        <f t="shared" si="6"/>
        <v>1</v>
      </c>
      <c r="K13" s="29" t="b">
        <f t="shared" si="7"/>
        <v>0</v>
      </c>
      <c r="M13" s="37" t="b">
        <f t="shared" si="8"/>
        <v>0</v>
      </c>
      <c r="N13" s="29" t="b">
        <f t="shared" si="9"/>
        <v>0</v>
      </c>
      <c r="S13" s="30" t="s">
        <v>67</v>
      </c>
      <c r="T13" s="38" t="e">
        <f>STDEV(A10:A60)</f>
        <v>#DIV/0!</v>
      </c>
    </row>
    <row r="14" spans="1:20">
      <c r="A14" s="35" t="str">
        <f>IF('Poeira Mineral - Respirável'!J11="","",'Poeira Mineral - Respirável'!J11)</f>
        <v/>
      </c>
      <c r="C14" s="29" t="e">
        <f t="shared" si="0"/>
        <v>#VALUE!</v>
      </c>
      <c r="D14" s="36">
        <f t="shared" si="1"/>
        <v>0</v>
      </c>
      <c r="E14" s="29">
        <f>5+1</f>
        <v>6</v>
      </c>
      <c r="F14" s="29">
        <f t="shared" si="2"/>
        <v>0</v>
      </c>
      <c r="G14" s="29">
        <f t="shared" si="3"/>
        <v>6</v>
      </c>
      <c r="H14" s="29" t="b">
        <f t="shared" si="4"/>
        <v>0</v>
      </c>
      <c r="I14" s="29" t="b">
        <f t="shared" si="5"/>
        <v>0</v>
      </c>
      <c r="J14" s="29">
        <f t="shared" si="6"/>
        <v>1</v>
      </c>
      <c r="K14" s="29" t="b">
        <f t="shared" si="7"/>
        <v>0</v>
      </c>
      <c r="M14" s="37" t="b">
        <f t="shared" si="8"/>
        <v>0</v>
      </c>
      <c r="N14" s="29" t="b">
        <f t="shared" si="9"/>
        <v>0</v>
      </c>
      <c r="S14" s="28" t="s">
        <v>68</v>
      </c>
      <c r="T14" s="28" t="e">
        <f>T13/T11</f>
        <v>#DIV/0!</v>
      </c>
    </row>
    <row r="15" spans="1:20">
      <c r="A15" s="35" t="str">
        <f>IF('Poeira Mineral - Respirável'!J12="","",'Poeira Mineral - Respirável'!J12)</f>
        <v/>
      </c>
      <c r="C15" s="29" t="e">
        <f t="shared" si="0"/>
        <v>#VALUE!</v>
      </c>
      <c r="D15" s="36">
        <f t="shared" si="1"/>
        <v>0</v>
      </c>
      <c r="E15" s="29">
        <f>5+0.67</f>
        <v>5.67</v>
      </c>
      <c r="F15" s="29">
        <f t="shared" si="2"/>
        <v>0</v>
      </c>
      <c r="G15" s="29">
        <f t="shared" si="3"/>
        <v>5.67</v>
      </c>
      <c r="H15" s="29" t="b">
        <f t="shared" si="4"/>
        <v>0</v>
      </c>
      <c r="I15" s="29" t="b">
        <f t="shared" si="5"/>
        <v>0</v>
      </c>
      <c r="J15" s="29">
        <f t="shared" si="6"/>
        <v>1</v>
      </c>
      <c r="K15" s="29" t="b">
        <f t="shared" si="7"/>
        <v>0</v>
      </c>
      <c r="M15" s="37" t="b">
        <f t="shared" si="8"/>
        <v>0</v>
      </c>
      <c r="N15" s="29" t="b">
        <f t="shared" si="9"/>
        <v>0</v>
      </c>
      <c r="S15" s="30" t="s">
        <v>69</v>
      </c>
      <c r="T15" s="38">
        <f>T17-T16</f>
        <v>0</v>
      </c>
    </row>
    <row r="16" spans="1:20">
      <c r="A16" s="35" t="str">
        <f>IF('Poeira Mineral - Respirável'!I13="","",'Poeira Mineral - Respirável'!I13)</f>
        <v/>
      </c>
      <c r="C16" s="29" t="e">
        <f t="shared" si="0"/>
        <v>#VALUE!</v>
      </c>
      <c r="D16" s="36">
        <f t="shared" si="1"/>
        <v>0</v>
      </c>
      <c r="E16" s="29">
        <f>5+0</f>
        <v>5</v>
      </c>
      <c r="F16" s="29">
        <f t="shared" si="2"/>
        <v>0</v>
      </c>
      <c r="G16" s="29">
        <f t="shared" si="3"/>
        <v>5</v>
      </c>
      <c r="H16" s="29" t="b">
        <f t="shared" si="4"/>
        <v>0</v>
      </c>
      <c r="I16" s="29" t="b">
        <f t="shared" si="5"/>
        <v>0</v>
      </c>
      <c r="J16" s="29">
        <f t="shared" si="6"/>
        <v>1</v>
      </c>
      <c r="K16" s="29" t="b">
        <f t="shared" si="7"/>
        <v>0</v>
      </c>
      <c r="M16" s="37" t="b">
        <f t="shared" si="8"/>
        <v>0</v>
      </c>
      <c r="N16" s="29" t="b">
        <f t="shared" si="9"/>
        <v>0</v>
      </c>
      <c r="S16" s="30" t="s">
        <v>70</v>
      </c>
      <c r="T16" s="38">
        <f>MIN(A10:A60)</f>
        <v>0</v>
      </c>
    </row>
    <row r="17" spans="1:20">
      <c r="A17" s="35" t="str">
        <f>IF('Poeira Mineral - Respirável'!I14="","",'Poeira Mineral - Respirável'!I14)</f>
        <v/>
      </c>
      <c r="C17" s="29" t="e">
        <f t="shared" si="0"/>
        <v>#VALUE!</v>
      </c>
      <c r="D17" s="36">
        <f t="shared" si="1"/>
        <v>0</v>
      </c>
      <c r="E17" s="29">
        <f>5+-0.67</f>
        <v>4.33</v>
      </c>
      <c r="F17" s="29">
        <f t="shared" si="2"/>
        <v>0</v>
      </c>
      <c r="G17" s="29">
        <f t="shared" si="3"/>
        <v>4.33</v>
      </c>
      <c r="H17" s="29" t="b">
        <f t="shared" si="4"/>
        <v>0</v>
      </c>
      <c r="I17" s="29" t="b">
        <f t="shared" si="5"/>
        <v>0</v>
      </c>
      <c r="J17" s="29">
        <f t="shared" si="6"/>
        <v>1</v>
      </c>
      <c r="K17" s="29" t="b">
        <f t="shared" si="7"/>
        <v>0</v>
      </c>
      <c r="M17" s="37" t="b">
        <f t="shared" si="8"/>
        <v>0</v>
      </c>
      <c r="N17" s="29" t="b">
        <f t="shared" si="9"/>
        <v>0</v>
      </c>
      <c r="S17" s="30" t="s">
        <v>71</v>
      </c>
      <c r="T17" s="38">
        <f>MAX(A10:A60)</f>
        <v>0</v>
      </c>
    </row>
    <row r="18" spans="1:20">
      <c r="A18" s="35"/>
      <c r="C18" s="29" t="e">
        <f t="shared" si="0"/>
        <v>#N/A</v>
      </c>
      <c r="D18" s="36">
        <f t="shared" si="1"/>
        <v>0</v>
      </c>
      <c r="E18" s="29">
        <f>5+-1</f>
        <v>4</v>
      </c>
      <c r="F18" s="29">
        <f t="shared" si="2"/>
        <v>0</v>
      </c>
      <c r="G18" s="29">
        <f t="shared" si="3"/>
        <v>4</v>
      </c>
      <c r="H18" s="29" t="b">
        <f t="shared" si="4"/>
        <v>0</v>
      </c>
      <c r="I18" s="29" t="b">
        <f t="shared" si="5"/>
        <v>0</v>
      </c>
      <c r="J18" s="29">
        <f t="shared" si="6"/>
        <v>0</v>
      </c>
      <c r="K18" s="29" t="b">
        <f t="shared" si="7"/>
        <v>0</v>
      </c>
      <c r="M18" s="37" t="b">
        <f t="shared" si="8"/>
        <v>0</v>
      </c>
      <c r="N18" s="29" t="b">
        <f t="shared" si="9"/>
        <v>0</v>
      </c>
      <c r="S18" s="30" t="s">
        <v>72</v>
      </c>
      <c r="T18" s="38" t="e">
        <f>EXP(AVERAGE(K10:K60))</f>
        <v>#DIV/0!</v>
      </c>
    </row>
    <row r="19" spans="1:20">
      <c r="A19" s="35"/>
      <c r="C19" s="29" t="e">
        <f t="shared" si="0"/>
        <v>#N/A</v>
      </c>
      <c r="D19" s="36">
        <f t="shared" si="1"/>
        <v>0</v>
      </c>
      <c r="E19" s="29">
        <f>5+-1.28</f>
        <v>3.7199999999999998</v>
      </c>
      <c r="F19" s="29">
        <f t="shared" si="2"/>
        <v>0</v>
      </c>
      <c r="G19" s="29">
        <f t="shared" si="3"/>
        <v>3.7199999999999998</v>
      </c>
      <c r="H19" s="29" t="b">
        <f t="shared" si="4"/>
        <v>0</v>
      </c>
      <c r="I19" s="29" t="b">
        <f t="shared" si="5"/>
        <v>0</v>
      </c>
      <c r="J19" s="29">
        <f t="shared" si="6"/>
        <v>0</v>
      </c>
      <c r="K19" s="29" t="b">
        <f t="shared" si="7"/>
        <v>0</v>
      </c>
      <c r="M19" s="37" t="b">
        <f t="shared" si="8"/>
        <v>0</v>
      </c>
      <c r="N19" s="29" t="b">
        <f t="shared" si="9"/>
        <v>0</v>
      </c>
      <c r="S19" s="30" t="s">
        <v>73</v>
      </c>
      <c r="T19" s="38" t="e">
        <f>EXP(STDEV(K10:K60))</f>
        <v>#DIV/0!</v>
      </c>
    </row>
    <row r="20" spans="1:20">
      <c r="A20" s="35"/>
      <c r="C20" s="29" t="e">
        <f t="shared" si="0"/>
        <v>#N/A</v>
      </c>
      <c r="D20" s="36">
        <f t="shared" si="1"/>
        <v>0</v>
      </c>
      <c r="E20" s="29">
        <f>5+-1.645</f>
        <v>3.355</v>
      </c>
      <c r="F20" s="29">
        <f t="shared" si="2"/>
        <v>0</v>
      </c>
      <c r="G20" s="29">
        <f t="shared" si="3"/>
        <v>3.355</v>
      </c>
      <c r="H20" s="29" t="b">
        <f t="shared" si="4"/>
        <v>0</v>
      </c>
      <c r="I20" s="29" t="b">
        <f t="shared" si="5"/>
        <v>0</v>
      </c>
      <c r="J20" s="29">
        <f t="shared" si="6"/>
        <v>0</v>
      </c>
      <c r="K20" s="29" t="b">
        <f t="shared" si="7"/>
        <v>0</v>
      </c>
      <c r="M20" s="37" t="b">
        <f t="shared" si="8"/>
        <v>0</v>
      </c>
      <c r="N20" s="29" t="b">
        <f t="shared" si="9"/>
        <v>0</v>
      </c>
      <c r="S20" s="30" t="s">
        <v>74</v>
      </c>
      <c r="T20" s="38" t="e">
        <f>(AVERAGE(K10:K60))</f>
        <v>#DIV/0!</v>
      </c>
    </row>
    <row r="21" spans="1:20">
      <c r="A21" s="35"/>
      <c r="C21" s="29" t="e">
        <f t="shared" si="0"/>
        <v>#N/A</v>
      </c>
      <c r="D21" s="36">
        <f t="shared" si="1"/>
        <v>0</v>
      </c>
      <c r="E21" s="29">
        <f>5+-2.05</f>
        <v>2.95</v>
      </c>
      <c r="F21" s="29">
        <f t="shared" si="2"/>
        <v>0</v>
      </c>
      <c r="G21" s="29">
        <f t="shared" si="3"/>
        <v>2.95</v>
      </c>
      <c r="H21" s="29" t="b">
        <f t="shared" si="4"/>
        <v>0</v>
      </c>
      <c r="I21" s="29" t="b">
        <f t="shared" si="5"/>
        <v>0</v>
      </c>
      <c r="J21" s="29">
        <f t="shared" si="6"/>
        <v>0</v>
      </c>
      <c r="K21" s="29" t="b">
        <f t="shared" si="7"/>
        <v>0</v>
      </c>
      <c r="M21" s="37" t="b">
        <f t="shared" si="8"/>
        <v>0</v>
      </c>
      <c r="N21" s="29" t="b">
        <f t="shared" si="9"/>
        <v>0</v>
      </c>
      <c r="S21" s="30" t="s">
        <v>75</v>
      </c>
      <c r="T21" s="38" t="e">
        <f>(STDEV(K10:K60))</f>
        <v>#DIV/0!</v>
      </c>
    </row>
    <row r="22" spans="1:20">
      <c r="A22" s="35"/>
      <c r="C22" s="29" t="e">
        <f t="shared" si="0"/>
        <v>#N/A</v>
      </c>
      <c r="D22" s="36">
        <f t="shared" si="1"/>
        <v>0</v>
      </c>
      <c r="E22" s="29">
        <f>5+-2.33</f>
        <v>2.67</v>
      </c>
      <c r="F22" s="29">
        <f t="shared" si="2"/>
        <v>0</v>
      </c>
      <c r="G22" s="29">
        <f t="shared" si="3"/>
        <v>2.67</v>
      </c>
      <c r="H22" s="29" t="b">
        <f t="shared" si="4"/>
        <v>0</v>
      </c>
      <c r="I22" s="29" t="b">
        <f t="shared" si="5"/>
        <v>0</v>
      </c>
      <c r="J22" s="29">
        <f t="shared" si="6"/>
        <v>0</v>
      </c>
      <c r="K22" s="29" t="b">
        <f t="shared" si="7"/>
        <v>0</v>
      </c>
      <c r="M22" s="37" t="b">
        <f t="shared" si="8"/>
        <v>0</v>
      </c>
      <c r="N22" s="29" t="b">
        <f t="shared" si="9"/>
        <v>0</v>
      </c>
      <c r="S22" s="30" t="s">
        <v>76</v>
      </c>
      <c r="T22" s="38" t="e">
        <f>(SUM(J10:J60)/T10)*100</f>
        <v>#DIV/0!</v>
      </c>
    </row>
    <row r="23" spans="1:20">
      <c r="A23" s="35"/>
      <c r="C23" s="29" t="e">
        <f t="shared" si="0"/>
        <v>#N/A</v>
      </c>
      <c r="H23" s="29" t="b">
        <f t="shared" si="4"/>
        <v>0</v>
      </c>
      <c r="I23" s="29" t="b">
        <f t="shared" si="5"/>
        <v>0</v>
      </c>
      <c r="J23" s="29">
        <f t="shared" si="6"/>
        <v>0</v>
      </c>
      <c r="K23" s="29" t="b">
        <f t="shared" si="7"/>
        <v>0</v>
      </c>
      <c r="M23" s="37" t="b">
        <f t="shared" si="8"/>
        <v>0</v>
      </c>
      <c r="N23" s="29" t="b">
        <f t="shared" si="9"/>
        <v>0</v>
      </c>
      <c r="S23" s="28"/>
    </row>
    <row r="24" spans="1:20">
      <c r="A24" s="35"/>
      <c r="C24" s="29" t="e">
        <f t="shared" si="0"/>
        <v>#N/A</v>
      </c>
      <c r="H24" s="29" t="b">
        <f t="shared" si="4"/>
        <v>0</v>
      </c>
      <c r="I24" s="29" t="b">
        <f t="shared" si="5"/>
        <v>0</v>
      </c>
      <c r="J24" s="29">
        <f t="shared" si="6"/>
        <v>0</v>
      </c>
      <c r="K24" s="29" t="b">
        <f t="shared" si="7"/>
        <v>0</v>
      </c>
      <c r="M24" s="37" t="b">
        <f t="shared" si="8"/>
        <v>0</v>
      </c>
      <c r="N24" s="29" t="b">
        <f t="shared" si="9"/>
        <v>0</v>
      </c>
      <c r="S24" s="28"/>
    </row>
    <row r="25" spans="1:20">
      <c r="A25" s="35"/>
      <c r="C25" s="29" t="e">
        <f t="shared" si="0"/>
        <v>#N/A</v>
      </c>
      <c r="H25" s="29" t="b">
        <f t="shared" si="4"/>
        <v>0</v>
      </c>
      <c r="I25" s="29" t="b">
        <f t="shared" si="5"/>
        <v>0</v>
      </c>
      <c r="J25" s="29">
        <f t="shared" si="6"/>
        <v>0</v>
      </c>
      <c r="K25" s="29" t="b">
        <f t="shared" si="7"/>
        <v>0</v>
      </c>
      <c r="M25" s="37" t="b">
        <f t="shared" si="8"/>
        <v>0</v>
      </c>
      <c r="N25" s="29" t="b">
        <f t="shared" si="9"/>
        <v>0</v>
      </c>
      <c r="S25" s="34" t="s">
        <v>77</v>
      </c>
      <c r="T25" s="38"/>
    </row>
    <row r="26" spans="1:20">
      <c r="A26" s="35"/>
      <c r="C26" s="29" t="e">
        <f t="shared" si="0"/>
        <v>#N/A</v>
      </c>
      <c r="H26" s="29" t="b">
        <f t="shared" si="4"/>
        <v>0</v>
      </c>
      <c r="I26" s="29" t="b">
        <f t="shared" si="5"/>
        <v>0</v>
      </c>
      <c r="J26" s="29">
        <f t="shared" si="6"/>
        <v>0</v>
      </c>
      <c r="K26" s="29" t="b">
        <f t="shared" si="7"/>
        <v>0</v>
      </c>
      <c r="M26" s="37" t="b">
        <f t="shared" si="8"/>
        <v>0</v>
      </c>
      <c r="N26" s="29" t="b">
        <f t="shared" si="9"/>
        <v>0</v>
      </c>
      <c r="S26" s="30" t="s">
        <v>65</v>
      </c>
      <c r="T26" s="38" t="e">
        <f>T11</f>
        <v>#DIV/0!</v>
      </c>
    </row>
    <row r="27" spans="1:20">
      <c r="A27" s="35"/>
      <c r="C27" s="29" t="e">
        <f t="shared" si="0"/>
        <v>#N/A</v>
      </c>
      <c r="H27" s="29" t="b">
        <f t="shared" si="4"/>
        <v>0</v>
      </c>
      <c r="I27" s="29" t="b">
        <f t="shared" si="5"/>
        <v>0</v>
      </c>
      <c r="J27" s="29">
        <f t="shared" si="6"/>
        <v>0</v>
      </c>
      <c r="K27" s="29" t="b">
        <f t="shared" si="7"/>
        <v>0</v>
      </c>
      <c r="M27" s="37" t="b">
        <f t="shared" si="8"/>
        <v>0</v>
      </c>
      <c r="N27" s="29" t="b">
        <f t="shared" si="9"/>
        <v>0</v>
      </c>
      <c r="S27" s="30" t="s">
        <v>78</v>
      </c>
      <c r="T27" s="38" t="e">
        <f>T26+(1.645*T13/SQRT(T10))</f>
        <v>#DIV/0!</v>
      </c>
    </row>
    <row r="28" spans="1:20">
      <c r="A28" s="35"/>
      <c r="C28" s="29" t="e">
        <f t="shared" si="0"/>
        <v>#N/A</v>
      </c>
      <c r="H28" s="29" t="b">
        <f t="shared" si="4"/>
        <v>0</v>
      </c>
      <c r="I28" s="29" t="b">
        <f t="shared" si="5"/>
        <v>0</v>
      </c>
      <c r="J28" s="29">
        <f t="shared" si="6"/>
        <v>0</v>
      </c>
      <c r="K28" s="29" t="b">
        <f t="shared" si="7"/>
        <v>0</v>
      </c>
      <c r="M28" s="37" t="b">
        <f t="shared" si="8"/>
        <v>0</v>
      </c>
      <c r="N28" s="29" t="b">
        <f t="shared" si="9"/>
        <v>0</v>
      </c>
      <c r="S28" s="30" t="s">
        <v>79</v>
      </c>
      <c r="T28" s="38" t="e">
        <f>T26-(1.645*T13/SQRT(T10))</f>
        <v>#DIV/0!</v>
      </c>
    </row>
    <row r="29" spans="1:20">
      <c r="A29" s="35"/>
      <c r="C29" s="29" t="e">
        <f t="shared" si="0"/>
        <v>#N/A</v>
      </c>
      <c r="H29" s="29" t="b">
        <f t="shared" si="4"/>
        <v>0</v>
      </c>
      <c r="I29" s="29" t="b">
        <f t="shared" si="5"/>
        <v>0</v>
      </c>
      <c r="J29" s="29">
        <f t="shared" si="6"/>
        <v>0</v>
      </c>
      <c r="K29" s="29" t="b">
        <f t="shared" si="7"/>
        <v>0</v>
      </c>
      <c r="M29" s="37" t="b">
        <f t="shared" si="8"/>
        <v>0</v>
      </c>
      <c r="N29" s="29" t="b">
        <f t="shared" si="9"/>
        <v>0</v>
      </c>
      <c r="S29" s="30" t="s">
        <v>80</v>
      </c>
      <c r="T29" s="38" t="e">
        <f>T26+(1.645*T13)</f>
        <v>#DIV/0!</v>
      </c>
    </row>
    <row r="30" spans="1:20">
      <c r="A30" s="35"/>
      <c r="C30" s="29" t="e">
        <f t="shared" si="0"/>
        <v>#N/A</v>
      </c>
      <c r="H30" s="29" t="b">
        <f t="shared" si="4"/>
        <v>0</v>
      </c>
      <c r="I30" s="29" t="b">
        <f t="shared" si="5"/>
        <v>0</v>
      </c>
      <c r="J30" s="29">
        <f t="shared" si="6"/>
        <v>0</v>
      </c>
      <c r="K30" s="29" t="b">
        <f t="shared" si="7"/>
        <v>0</v>
      </c>
      <c r="M30" s="37" t="b">
        <f t="shared" si="8"/>
        <v>0</v>
      </c>
      <c r="N30" s="29" t="b">
        <f t="shared" si="9"/>
        <v>0</v>
      </c>
      <c r="S30" s="30" t="s">
        <v>76</v>
      </c>
      <c r="T30" s="38" t="e">
        <f>100*(1-NORMDIST(B6,T26,T13,TRUE()))</f>
        <v>#DIV/0!</v>
      </c>
    </row>
    <row r="31" spans="1:20">
      <c r="A31" s="35"/>
      <c r="C31" s="29" t="e">
        <f t="shared" si="0"/>
        <v>#N/A</v>
      </c>
      <c r="H31" s="29" t="b">
        <f t="shared" si="4"/>
        <v>0</v>
      </c>
      <c r="I31" s="29" t="b">
        <f t="shared" si="5"/>
        <v>0</v>
      </c>
      <c r="J31" s="29">
        <f t="shared" si="6"/>
        <v>0</v>
      </c>
      <c r="K31" s="29" t="b">
        <f t="shared" si="7"/>
        <v>0</v>
      </c>
      <c r="M31" s="37" t="b">
        <f t="shared" si="8"/>
        <v>0</v>
      </c>
      <c r="N31" s="29" t="b">
        <f t="shared" si="9"/>
        <v>0</v>
      </c>
      <c r="S31" s="28" t="s">
        <v>81</v>
      </c>
      <c r="T31" s="28" t="e" vm="1">
        <f>B361</f>
        <v>#VALUE!</v>
      </c>
    </row>
    <row r="32" spans="1:20">
      <c r="A32" s="35"/>
      <c r="C32" s="29" t="e">
        <f t="shared" si="0"/>
        <v>#N/A</v>
      </c>
      <c r="H32" s="29" t="b">
        <f t="shared" si="4"/>
        <v>0</v>
      </c>
      <c r="I32" s="29" t="b">
        <f t="shared" si="5"/>
        <v>0</v>
      </c>
      <c r="J32" s="29">
        <f t="shared" si="6"/>
        <v>0</v>
      </c>
      <c r="K32" s="29" t="b">
        <f t="shared" si="7"/>
        <v>0</v>
      </c>
      <c r="M32" s="37" t="b">
        <f t="shared" si="8"/>
        <v>0</v>
      </c>
      <c r="N32" s="29" t="b">
        <f t="shared" si="9"/>
        <v>0</v>
      </c>
      <c r="S32" s="28" t="s">
        <v>82</v>
      </c>
      <c r="T32" s="39" t="e" vm="1">
        <f>D361</f>
        <v>#VALUE!</v>
      </c>
    </row>
    <row r="33" spans="1:20">
      <c r="A33" s="35"/>
      <c r="C33" s="29" t="e">
        <f t="shared" si="0"/>
        <v>#N/A</v>
      </c>
      <c r="H33" s="29" t="b">
        <f t="shared" si="4"/>
        <v>0</v>
      </c>
      <c r="I33" s="29" t="b">
        <f t="shared" si="5"/>
        <v>0</v>
      </c>
      <c r="J33" s="29">
        <f t="shared" si="6"/>
        <v>0</v>
      </c>
      <c r="K33" s="29" t="b">
        <f t="shared" si="7"/>
        <v>0</v>
      </c>
      <c r="M33" s="37" t="b">
        <f t="shared" si="8"/>
        <v>0</v>
      </c>
      <c r="N33" s="29" t="b">
        <f t="shared" si="9"/>
        <v>0</v>
      </c>
      <c r="S33" s="28"/>
    </row>
    <row r="34" spans="1:20">
      <c r="A34" s="35"/>
      <c r="C34" s="29" t="e">
        <f t="shared" si="0"/>
        <v>#N/A</v>
      </c>
      <c r="H34" s="29" t="b">
        <f t="shared" si="4"/>
        <v>0</v>
      </c>
      <c r="I34" s="29" t="b">
        <f t="shared" si="5"/>
        <v>0</v>
      </c>
      <c r="J34" s="29">
        <f t="shared" si="6"/>
        <v>0</v>
      </c>
      <c r="K34" s="29" t="b">
        <f t="shared" si="7"/>
        <v>0</v>
      </c>
      <c r="M34" s="37" t="b">
        <f t="shared" si="8"/>
        <v>0</v>
      </c>
      <c r="N34" s="29" t="b">
        <f t="shared" si="9"/>
        <v>0</v>
      </c>
      <c r="S34" s="34" t="s">
        <v>83</v>
      </c>
      <c r="T34" s="38"/>
    </row>
    <row r="35" spans="1:20">
      <c r="A35" s="35"/>
      <c r="C35" s="29" t="e">
        <f t="shared" si="0"/>
        <v>#N/A</v>
      </c>
      <c r="H35" s="29" t="b">
        <f t="shared" si="4"/>
        <v>0</v>
      </c>
      <c r="I35" s="29" t="b">
        <f t="shared" si="5"/>
        <v>0</v>
      </c>
      <c r="J35" s="29">
        <f t="shared" si="6"/>
        <v>0</v>
      </c>
      <c r="K35" s="29" t="b">
        <f t="shared" si="7"/>
        <v>0</v>
      </c>
      <c r="M35" s="37" t="b">
        <f t="shared" si="8"/>
        <v>0</v>
      </c>
      <c r="N35" s="29" t="b">
        <f t="shared" si="9"/>
        <v>0</v>
      </c>
      <c r="S35" s="30" t="s">
        <v>72</v>
      </c>
      <c r="T35" s="38" t="e">
        <f>T18</f>
        <v>#DIV/0!</v>
      </c>
    </row>
    <row r="36" spans="1:20">
      <c r="A36" s="35"/>
      <c r="C36" s="29" t="e">
        <f t="shared" si="0"/>
        <v>#N/A</v>
      </c>
      <c r="H36" s="29" t="b">
        <f t="shared" si="4"/>
        <v>0</v>
      </c>
      <c r="I36" s="29" t="b">
        <f t="shared" si="5"/>
        <v>0</v>
      </c>
      <c r="J36" s="29">
        <f t="shared" si="6"/>
        <v>0</v>
      </c>
      <c r="K36" s="29" t="b">
        <f t="shared" si="7"/>
        <v>0</v>
      </c>
      <c r="M36" s="37" t="b">
        <f t="shared" si="8"/>
        <v>0</v>
      </c>
      <c r="N36" s="29" t="b">
        <f t="shared" si="9"/>
        <v>0</v>
      </c>
      <c r="S36" s="30" t="s">
        <v>73</v>
      </c>
      <c r="T36" s="38" t="e">
        <f>T19</f>
        <v>#DIV/0!</v>
      </c>
    </row>
    <row r="37" spans="1:20">
      <c r="A37" s="35"/>
      <c r="C37" s="29" t="e">
        <f t="shared" si="0"/>
        <v>#N/A</v>
      </c>
      <c r="H37" s="29" t="b">
        <f t="shared" si="4"/>
        <v>0</v>
      </c>
      <c r="I37" s="29" t="b">
        <f t="shared" si="5"/>
        <v>0</v>
      </c>
      <c r="J37" s="29">
        <f t="shared" si="6"/>
        <v>0</v>
      </c>
      <c r="K37" s="29" t="b">
        <f t="shared" si="7"/>
        <v>0</v>
      </c>
      <c r="M37" s="37" t="b">
        <f t="shared" si="8"/>
        <v>0</v>
      </c>
      <c r="N37" s="29" t="b">
        <f t="shared" si="9"/>
        <v>0</v>
      </c>
      <c r="S37" s="30" t="s">
        <v>84</v>
      </c>
      <c r="T37" s="38" t="e">
        <f>T11</f>
        <v>#DIV/0!</v>
      </c>
    </row>
    <row r="38" spans="1:20">
      <c r="A38" s="35"/>
      <c r="C38" s="29" t="e">
        <f t="shared" si="0"/>
        <v>#N/A</v>
      </c>
      <c r="H38" s="29" t="b">
        <f t="shared" si="4"/>
        <v>0</v>
      </c>
      <c r="I38" s="29" t="b">
        <f t="shared" si="5"/>
        <v>0</v>
      </c>
      <c r="J38" s="29">
        <f t="shared" si="6"/>
        <v>0</v>
      </c>
      <c r="K38" s="29" t="b">
        <f t="shared" si="7"/>
        <v>0</v>
      </c>
      <c r="M38" s="37" t="b">
        <f t="shared" si="8"/>
        <v>0</v>
      </c>
      <c r="N38" s="29" t="b">
        <f t="shared" si="9"/>
        <v>0</v>
      </c>
      <c r="Q38" s="28"/>
      <c r="R38" s="28"/>
      <c r="S38" s="30" t="s">
        <v>85</v>
      </c>
      <c r="T38" s="38" t="e">
        <f>W98</f>
        <v>#DIV/0!</v>
      </c>
    </row>
    <row r="39" spans="1:20">
      <c r="A39" s="35"/>
      <c r="C39" s="29" t="e">
        <f t="shared" si="0"/>
        <v>#N/A</v>
      </c>
      <c r="H39" s="29" t="b">
        <f t="shared" si="4"/>
        <v>0</v>
      </c>
      <c r="I39" s="29" t="b">
        <f t="shared" si="5"/>
        <v>0</v>
      </c>
      <c r="J39" s="29">
        <f t="shared" si="6"/>
        <v>0</v>
      </c>
      <c r="K39" s="29" t="b">
        <f t="shared" si="7"/>
        <v>0</v>
      </c>
      <c r="M39" s="37" t="b">
        <f t="shared" si="8"/>
        <v>0</v>
      </c>
      <c r="N39" s="29" t="b">
        <f t="shared" si="9"/>
        <v>0</v>
      </c>
      <c r="Q39" s="28"/>
      <c r="R39" s="28"/>
      <c r="S39" s="30" t="s">
        <v>86</v>
      </c>
      <c r="T39" s="38" t="e">
        <f>X96</f>
        <v>#DIV/0!</v>
      </c>
    </row>
    <row r="40" spans="1:20">
      <c r="A40" s="35"/>
      <c r="C40" s="29" t="e">
        <f t="shared" si="0"/>
        <v>#N/A</v>
      </c>
      <c r="H40" s="29" t="b">
        <f t="shared" si="4"/>
        <v>0</v>
      </c>
      <c r="I40" s="29" t="b">
        <f t="shared" si="5"/>
        <v>0</v>
      </c>
      <c r="J40" s="29">
        <f t="shared" si="6"/>
        <v>0</v>
      </c>
      <c r="K40" s="29" t="b">
        <f t="shared" si="7"/>
        <v>0</v>
      </c>
      <c r="M40" s="37" t="b">
        <f t="shared" si="8"/>
        <v>0</v>
      </c>
      <c r="N40" s="29" t="b">
        <f t="shared" si="9"/>
        <v>0</v>
      </c>
      <c r="S40" s="30" t="s">
        <v>87</v>
      </c>
      <c r="T40" s="38" t="e">
        <f>$T$37+(TINV(0.1,$T$10-1)*($T$13/SQRT($T$10)))</f>
        <v>#DIV/0!</v>
      </c>
    </row>
    <row r="41" spans="1:20">
      <c r="A41" s="35"/>
      <c r="C41" s="29" t="e">
        <f t="shared" si="0"/>
        <v>#N/A</v>
      </c>
      <c r="H41" s="29" t="b">
        <f t="shared" si="4"/>
        <v>0</v>
      </c>
      <c r="I41" s="29" t="b">
        <f t="shared" si="5"/>
        <v>0</v>
      </c>
      <c r="J41" s="29">
        <f t="shared" si="6"/>
        <v>0</v>
      </c>
      <c r="K41" s="29" t="b">
        <f t="shared" si="7"/>
        <v>0</v>
      </c>
      <c r="M41" s="37" t="b">
        <f t="shared" si="8"/>
        <v>0</v>
      </c>
      <c r="N41" s="29" t="b">
        <f t="shared" si="9"/>
        <v>0</v>
      </c>
      <c r="S41" s="30" t="s">
        <v>88</v>
      </c>
      <c r="T41" s="38" t="e">
        <f>$T$37-(TINV(0.1,$T$10-1)*($T$13/SQRT($T$10)))</f>
        <v>#DIV/0!</v>
      </c>
    </row>
    <row r="42" spans="1:20">
      <c r="A42" s="35"/>
      <c r="C42" s="29" t="e">
        <f t="shared" ref="C42:C60" si="10">K106</f>
        <v>#N/A</v>
      </c>
      <c r="H42" s="29" t="b">
        <f t="shared" ref="H42:H60" si="11">IF(ISNUMBER(N106),N106)</f>
        <v>0</v>
      </c>
      <c r="I42" s="29" t="b">
        <f t="shared" ref="I42:I60" si="12">IF(ISNUMBER(O106),O106)</f>
        <v>0</v>
      </c>
      <c r="J42" s="29">
        <f t="shared" ref="J42:J60" si="13">IF(A42&gt;$B$6,1,0)</f>
        <v>0</v>
      </c>
      <c r="K42" s="29" t="b">
        <f t="shared" ref="K42:K60" si="14">IF(ISNUMBER(N106),LN(N106))</f>
        <v>0</v>
      </c>
      <c r="M42" s="37" t="b">
        <f t="shared" ref="M42:M60" si="15">IF(ISNUMBER(A42),(A42-$T$11)^2)</f>
        <v>0</v>
      </c>
      <c r="N42" s="29" t="b">
        <f t="shared" ref="N42:N60" si="16">IF(ISNUMBER(K42),(K42-$T$20)^2)</f>
        <v>0</v>
      </c>
      <c r="S42" s="30" t="s">
        <v>89</v>
      </c>
      <c r="T42" s="38" t="e">
        <f>$T$38*EXP(TINV(0.1,$T$10-1)*($T$21/SQRT($T$10)))</f>
        <v>#DIV/0!</v>
      </c>
    </row>
    <row r="43" spans="1:20">
      <c r="A43" s="35"/>
      <c r="C43" s="29" t="e">
        <f t="shared" si="10"/>
        <v>#N/A</v>
      </c>
      <c r="H43" s="29" t="b">
        <f t="shared" si="11"/>
        <v>0</v>
      </c>
      <c r="I43" s="29" t="b">
        <f t="shared" si="12"/>
        <v>0</v>
      </c>
      <c r="J43" s="29">
        <f t="shared" si="13"/>
        <v>0</v>
      </c>
      <c r="K43" s="29" t="b">
        <f t="shared" si="14"/>
        <v>0</v>
      </c>
      <c r="M43" s="37" t="b">
        <f t="shared" si="15"/>
        <v>0</v>
      </c>
      <c r="N43" s="29" t="b">
        <f t="shared" si="16"/>
        <v>0</v>
      </c>
      <c r="S43" s="30" t="s">
        <v>90</v>
      </c>
      <c r="T43" s="38" t="e">
        <f>$T$38*EXP(-TINV(0.1,$T$10-1)*($T$21/SQRT($T$10)))</f>
        <v>#DIV/0!</v>
      </c>
    </row>
    <row r="44" spans="1:20">
      <c r="A44" s="35"/>
      <c r="C44" s="29" t="e">
        <f t="shared" si="10"/>
        <v>#N/A</v>
      </c>
      <c r="H44" s="29" t="b">
        <f t="shared" si="11"/>
        <v>0</v>
      </c>
      <c r="I44" s="29" t="b">
        <f t="shared" si="12"/>
        <v>0</v>
      </c>
      <c r="J44" s="29">
        <f t="shared" si="13"/>
        <v>0</v>
      </c>
      <c r="K44" s="29" t="b">
        <f t="shared" si="14"/>
        <v>0</v>
      </c>
      <c r="M44" s="37" t="b">
        <f t="shared" si="15"/>
        <v>0</v>
      </c>
      <c r="N44" s="29" t="b">
        <f t="shared" si="16"/>
        <v>0</v>
      </c>
      <c r="S44" s="30" t="s">
        <v>91</v>
      </c>
      <c r="T44" s="38" t="e">
        <f>$T$39*EXP(TINV(0.05,$T$10-1)*SQRT(((($T$21)^2)/$T$10)+((($T$21)^4)/2)/(($T$10)-1)))</f>
        <v>#DIV/0!</v>
      </c>
    </row>
    <row r="45" spans="1:20">
      <c r="A45" s="35"/>
      <c r="C45" s="29" t="e">
        <f t="shared" si="10"/>
        <v>#N/A</v>
      </c>
      <c r="H45" s="29" t="b">
        <f t="shared" si="11"/>
        <v>0</v>
      </c>
      <c r="I45" s="29" t="b">
        <f t="shared" si="12"/>
        <v>0</v>
      </c>
      <c r="J45" s="29">
        <f t="shared" si="13"/>
        <v>0</v>
      </c>
      <c r="K45" s="29" t="b">
        <f t="shared" si="14"/>
        <v>0</v>
      </c>
      <c r="M45" s="37" t="b">
        <f t="shared" si="15"/>
        <v>0</v>
      </c>
      <c r="N45" s="29" t="b">
        <f t="shared" si="16"/>
        <v>0</v>
      </c>
      <c r="S45" s="30" t="s">
        <v>92</v>
      </c>
      <c r="T45" s="38" t="e">
        <f>$T$39*EXP(-TINV(0.05,$T$10-1)*SQRT(((($T$21)^2)/$T$10)+((($T$21)^4)/2)/(($T$10)-1)))</f>
        <v>#DIV/0!</v>
      </c>
    </row>
    <row r="46" spans="1:20">
      <c r="A46" s="35"/>
      <c r="C46" s="29" t="e">
        <f t="shared" si="10"/>
        <v>#N/A</v>
      </c>
      <c r="H46" s="29" t="b">
        <f t="shared" si="11"/>
        <v>0</v>
      </c>
      <c r="I46" s="29" t="b">
        <f t="shared" si="12"/>
        <v>0</v>
      </c>
      <c r="J46" s="29">
        <f t="shared" si="13"/>
        <v>0</v>
      </c>
      <c r="K46" s="29" t="b">
        <f t="shared" si="14"/>
        <v>0</v>
      </c>
      <c r="M46" s="37" t="b">
        <f t="shared" si="15"/>
        <v>0</v>
      </c>
      <c r="N46" s="29" t="b">
        <f t="shared" si="16"/>
        <v>0</v>
      </c>
      <c r="S46" s="30" t="s">
        <v>93</v>
      </c>
      <c r="T46" s="38" t="e">
        <f>J179</f>
        <v>#DIV/0!</v>
      </c>
    </row>
    <row r="47" spans="1:20">
      <c r="A47" s="35"/>
      <c r="C47" s="29" t="e">
        <f t="shared" si="10"/>
        <v>#N/A</v>
      </c>
      <c r="H47" s="29" t="b">
        <f t="shared" si="11"/>
        <v>0</v>
      </c>
      <c r="I47" s="29" t="b">
        <f t="shared" si="12"/>
        <v>0</v>
      </c>
      <c r="J47" s="29">
        <f t="shared" si="13"/>
        <v>0</v>
      </c>
      <c r="K47" s="29" t="b">
        <f t="shared" si="14"/>
        <v>0</v>
      </c>
      <c r="M47" s="37" t="b">
        <f t="shared" si="15"/>
        <v>0</v>
      </c>
      <c r="N47" s="29" t="b">
        <f t="shared" si="16"/>
        <v>0</v>
      </c>
      <c r="S47" s="30" t="s">
        <v>94</v>
      </c>
      <c r="T47" s="38" t="e">
        <f>J178</f>
        <v>#DIV/0!</v>
      </c>
    </row>
    <row r="48" spans="1:20">
      <c r="A48" s="35"/>
      <c r="C48" s="29" t="e">
        <f t="shared" si="10"/>
        <v>#N/A</v>
      </c>
      <c r="H48" s="29" t="b">
        <f t="shared" si="11"/>
        <v>0</v>
      </c>
      <c r="I48" s="29" t="b">
        <f t="shared" si="12"/>
        <v>0</v>
      </c>
      <c r="J48" s="29">
        <f t="shared" si="13"/>
        <v>0</v>
      </c>
      <c r="K48" s="29" t="b">
        <f t="shared" si="14"/>
        <v>0</v>
      </c>
      <c r="M48" s="37" t="b">
        <f t="shared" si="15"/>
        <v>0</v>
      </c>
      <c r="N48" s="29" t="b">
        <f t="shared" si="16"/>
        <v>0</v>
      </c>
      <c r="S48" s="30" t="s">
        <v>95</v>
      </c>
      <c r="T48" s="38" t="e">
        <f>$T$35*($T$36^(1.645))</f>
        <v>#DIV/0!</v>
      </c>
    </row>
    <row r="49" spans="1:22">
      <c r="A49" s="35"/>
      <c r="C49" s="29" t="e">
        <f t="shared" si="10"/>
        <v>#N/A</v>
      </c>
      <c r="H49" s="29" t="b">
        <f t="shared" si="11"/>
        <v>0</v>
      </c>
      <c r="I49" s="29" t="b">
        <f t="shared" si="12"/>
        <v>0</v>
      </c>
      <c r="J49" s="29">
        <f t="shared" si="13"/>
        <v>0</v>
      </c>
      <c r="K49" s="29" t="b">
        <f t="shared" si="14"/>
        <v>0</v>
      </c>
      <c r="M49" s="37" t="b">
        <f t="shared" si="15"/>
        <v>0</v>
      </c>
      <c r="N49" s="29" t="b">
        <f t="shared" si="16"/>
        <v>0</v>
      </c>
      <c r="S49" s="30" t="s">
        <v>96</v>
      </c>
      <c r="T49" s="38" t="e">
        <f>AE87</f>
        <v>#DIV/0!</v>
      </c>
    </row>
    <row r="50" spans="1:22">
      <c r="A50" s="35"/>
      <c r="C50" s="29" t="e">
        <f t="shared" si="10"/>
        <v>#N/A</v>
      </c>
      <c r="H50" s="29" t="b">
        <f t="shared" si="11"/>
        <v>0</v>
      </c>
      <c r="I50" s="29" t="b">
        <f t="shared" si="12"/>
        <v>0</v>
      </c>
      <c r="J50" s="29">
        <f t="shared" si="13"/>
        <v>0</v>
      </c>
      <c r="K50" s="29" t="b">
        <f t="shared" si="14"/>
        <v>0</v>
      </c>
      <c r="M50" s="37" t="b">
        <f t="shared" si="15"/>
        <v>0</v>
      </c>
      <c r="N50" s="29" t="b">
        <f t="shared" si="16"/>
        <v>0</v>
      </c>
      <c r="S50" s="30" t="s">
        <v>76</v>
      </c>
      <c r="T50" s="38" t="e">
        <f>100*(1-LOGNORMDIST($B$6,$T$20,$T$21))</f>
        <v>#DIV/0!</v>
      </c>
    </row>
    <row r="51" spans="1:22">
      <c r="A51" s="35"/>
      <c r="C51" s="29" t="e">
        <f t="shared" si="10"/>
        <v>#N/A</v>
      </c>
      <c r="H51" s="29" t="b">
        <f t="shared" si="11"/>
        <v>0</v>
      </c>
      <c r="I51" s="29" t="b">
        <f t="shared" si="12"/>
        <v>0</v>
      </c>
      <c r="J51" s="29">
        <f t="shared" si="13"/>
        <v>0</v>
      </c>
      <c r="K51" s="29" t="b">
        <f t="shared" si="14"/>
        <v>0</v>
      </c>
      <c r="M51" s="37" t="b">
        <f t="shared" si="15"/>
        <v>0</v>
      </c>
      <c r="N51" s="29" t="b">
        <f t="shared" si="16"/>
        <v>0</v>
      </c>
      <c r="S51" s="28" t="s">
        <v>97</v>
      </c>
      <c r="T51" s="28" t="e">
        <f>J212*100</f>
        <v>#N/A</v>
      </c>
    </row>
    <row r="52" spans="1:22">
      <c r="A52" s="35"/>
      <c r="C52" s="29" t="e">
        <f t="shared" si="10"/>
        <v>#N/A</v>
      </c>
      <c r="H52" s="29" t="b">
        <f t="shared" si="11"/>
        <v>0</v>
      </c>
      <c r="I52" s="29" t="b">
        <f t="shared" si="12"/>
        <v>0</v>
      </c>
      <c r="J52" s="29">
        <f t="shared" si="13"/>
        <v>0</v>
      </c>
      <c r="K52" s="29" t="b">
        <f t="shared" si="14"/>
        <v>0</v>
      </c>
      <c r="M52" s="37" t="b">
        <f t="shared" si="15"/>
        <v>0</v>
      </c>
      <c r="N52" s="29" t="b">
        <f t="shared" si="16"/>
        <v>0</v>
      </c>
      <c r="S52" s="28" t="s">
        <v>98</v>
      </c>
      <c r="T52" s="28" t="e">
        <f>J211*100</f>
        <v>#N/A</v>
      </c>
    </row>
    <row r="53" spans="1:22">
      <c r="A53" s="35"/>
      <c r="C53" s="29" t="e">
        <f t="shared" si="10"/>
        <v>#N/A</v>
      </c>
      <c r="H53" s="29" t="b">
        <f t="shared" si="11"/>
        <v>0</v>
      </c>
      <c r="I53" s="29" t="b">
        <f t="shared" si="12"/>
        <v>0</v>
      </c>
      <c r="J53" s="29">
        <f t="shared" si="13"/>
        <v>0</v>
      </c>
      <c r="K53" s="29" t="b">
        <f t="shared" si="14"/>
        <v>0</v>
      </c>
      <c r="M53" s="37" t="b">
        <f t="shared" si="15"/>
        <v>0</v>
      </c>
      <c r="N53" s="29" t="b">
        <f t="shared" si="16"/>
        <v>0</v>
      </c>
      <c r="S53" s="30" t="s">
        <v>99</v>
      </c>
      <c r="T53" s="38" t="e">
        <f>$AB$94</f>
        <v>#DIV/0!</v>
      </c>
    </row>
    <row r="54" spans="1:22">
      <c r="A54" s="35"/>
      <c r="C54" s="29" t="e">
        <f t="shared" si="10"/>
        <v>#N/A</v>
      </c>
      <c r="H54" s="29" t="b">
        <f t="shared" si="11"/>
        <v>0</v>
      </c>
      <c r="I54" s="29" t="b">
        <f t="shared" si="12"/>
        <v>0</v>
      </c>
      <c r="J54" s="29">
        <f t="shared" si="13"/>
        <v>0</v>
      </c>
      <c r="K54" s="29" t="b">
        <f t="shared" si="14"/>
        <v>0</v>
      </c>
      <c r="M54" s="37" t="b">
        <f t="shared" si="15"/>
        <v>0</v>
      </c>
      <c r="N54" s="29" t="b">
        <f t="shared" si="16"/>
        <v>0</v>
      </c>
      <c r="S54" s="30" t="s">
        <v>100</v>
      </c>
      <c r="T54" s="28" t="e">
        <f>$AA$94</f>
        <v>#DIV/0!</v>
      </c>
    </row>
    <row r="55" spans="1:22">
      <c r="A55" s="35"/>
      <c r="C55" s="29" t="e">
        <f t="shared" si="10"/>
        <v>#N/A</v>
      </c>
      <c r="H55" s="29" t="b">
        <f t="shared" si="11"/>
        <v>0</v>
      </c>
      <c r="I55" s="29" t="b">
        <f t="shared" si="12"/>
        <v>0</v>
      </c>
      <c r="J55" s="29">
        <f t="shared" si="13"/>
        <v>0</v>
      </c>
      <c r="K55" s="29" t="b">
        <f t="shared" si="14"/>
        <v>0</v>
      </c>
      <c r="M55" s="37" t="b">
        <f t="shared" si="15"/>
        <v>0</v>
      </c>
      <c r="N55" s="29" t="b">
        <f t="shared" si="16"/>
        <v>0</v>
      </c>
      <c r="S55" s="28" t="s">
        <v>101</v>
      </c>
      <c r="T55" s="28" t="e" vm="1">
        <f>B362</f>
        <v>#VALUE!</v>
      </c>
    </row>
    <row r="56" spans="1:22">
      <c r="A56" s="35"/>
      <c r="C56" s="29" t="e">
        <f t="shared" si="10"/>
        <v>#N/A</v>
      </c>
      <c r="H56" s="29" t="b">
        <f t="shared" si="11"/>
        <v>0</v>
      </c>
      <c r="I56" s="29" t="b">
        <f t="shared" si="12"/>
        <v>0</v>
      </c>
      <c r="J56" s="29">
        <f t="shared" si="13"/>
        <v>0</v>
      </c>
      <c r="K56" s="29" t="b">
        <f t="shared" si="14"/>
        <v>0</v>
      </c>
      <c r="M56" s="37" t="b">
        <f t="shared" si="15"/>
        <v>0</v>
      </c>
      <c r="N56" s="29" t="b">
        <f t="shared" si="16"/>
        <v>0</v>
      </c>
      <c r="S56" s="28" t="s">
        <v>102</v>
      </c>
      <c r="T56" s="39" t="e" vm="1">
        <f>D362</f>
        <v>#VALUE!</v>
      </c>
    </row>
    <row r="57" spans="1:22">
      <c r="A57" s="35"/>
      <c r="C57" s="29" t="e">
        <f t="shared" si="10"/>
        <v>#N/A</v>
      </c>
      <c r="H57" s="29" t="b">
        <f t="shared" si="11"/>
        <v>0</v>
      </c>
      <c r="I57" s="29" t="b">
        <f t="shared" si="12"/>
        <v>0</v>
      </c>
      <c r="J57" s="29">
        <f t="shared" si="13"/>
        <v>0</v>
      </c>
      <c r="K57" s="29" t="b">
        <f t="shared" si="14"/>
        <v>0</v>
      </c>
      <c r="M57" s="37" t="b">
        <f t="shared" si="15"/>
        <v>0</v>
      </c>
      <c r="N57" s="29" t="b">
        <f t="shared" si="16"/>
        <v>0</v>
      </c>
      <c r="S57" s="28"/>
    </row>
    <row r="58" spans="1:22">
      <c r="A58" s="35"/>
      <c r="C58" s="29" t="e">
        <f t="shared" si="10"/>
        <v>#N/A</v>
      </c>
      <c r="H58" s="29" t="b">
        <f t="shared" si="11"/>
        <v>0</v>
      </c>
      <c r="I58" s="29" t="b">
        <f t="shared" si="12"/>
        <v>0</v>
      </c>
      <c r="J58" s="29">
        <f t="shared" si="13"/>
        <v>0</v>
      </c>
      <c r="K58" s="29" t="b">
        <f t="shared" si="14"/>
        <v>0</v>
      </c>
      <c r="M58" s="37" t="b">
        <f t="shared" si="15"/>
        <v>0</v>
      </c>
      <c r="N58" s="29" t="b">
        <f t="shared" si="16"/>
        <v>0</v>
      </c>
    </row>
    <row r="59" spans="1:22">
      <c r="A59" s="35"/>
      <c r="C59" s="29" t="e">
        <f t="shared" si="10"/>
        <v>#N/A</v>
      </c>
      <c r="H59" s="29" t="b">
        <f t="shared" si="11"/>
        <v>0</v>
      </c>
      <c r="I59" s="29" t="b">
        <f t="shared" si="12"/>
        <v>0</v>
      </c>
      <c r="J59" s="29">
        <f t="shared" si="13"/>
        <v>0</v>
      </c>
      <c r="K59" s="29" t="b">
        <f t="shared" si="14"/>
        <v>0</v>
      </c>
      <c r="M59" s="37" t="b">
        <f t="shared" si="15"/>
        <v>0</v>
      </c>
      <c r="N59" s="29" t="b">
        <f t="shared" si="16"/>
        <v>0</v>
      </c>
    </row>
    <row r="60" spans="1:22" ht="13.8" thickBot="1">
      <c r="A60" s="40"/>
      <c r="C60" s="29" t="e">
        <f t="shared" si="10"/>
        <v>#N/A</v>
      </c>
      <c r="H60" s="29" t="b">
        <f t="shared" si="11"/>
        <v>0</v>
      </c>
      <c r="I60" s="29" t="b">
        <f t="shared" si="12"/>
        <v>0</v>
      </c>
      <c r="J60" s="29">
        <f t="shared" si="13"/>
        <v>0</v>
      </c>
      <c r="K60" s="29" t="b">
        <f t="shared" si="14"/>
        <v>0</v>
      </c>
      <c r="M60" s="37" t="b">
        <f t="shared" si="15"/>
        <v>0</v>
      </c>
      <c r="N60" s="29" t="b">
        <f t="shared" si="16"/>
        <v>0</v>
      </c>
    </row>
    <row r="61" spans="1:22" ht="13.8" thickTop="1"/>
    <row r="62" spans="1:22">
      <c r="L62" s="29" t="s">
        <v>103</v>
      </c>
      <c r="M62" s="37">
        <f>SUM(M10:M60)</f>
        <v>0</v>
      </c>
      <c r="N62" s="37">
        <f>SUM(N10:N60)</f>
        <v>0</v>
      </c>
    </row>
    <row r="64" spans="1:22">
      <c r="V64" s="28" t="s">
        <v>104</v>
      </c>
    </row>
    <row r="65" spans="1:25">
      <c r="V65" s="28" t="s">
        <v>105</v>
      </c>
      <c r="W65" s="28" t="e">
        <f>SLOPE(I10:I60,H10:H60)</f>
        <v>#DIV/0!</v>
      </c>
    </row>
    <row r="66" spans="1:25">
      <c r="V66" s="28" t="s">
        <v>106</v>
      </c>
      <c r="W66" s="28" t="e">
        <f>INTERCEPT(I10:I60,H10:H60)</f>
        <v>#DIV/0!</v>
      </c>
    </row>
    <row r="68" spans="1:25">
      <c r="V68" s="28" t="s">
        <v>107</v>
      </c>
      <c r="W68" s="28" t="s">
        <v>57</v>
      </c>
      <c r="X68" s="28" t="s">
        <v>108</v>
      </c>
    </row>
    <row r="69" spans="1:25">
      <c r="W69" s="41" t="e">
        <f>(X69-W66)/W65</f>
        <v>#DIV/0!</v>
      </c>
      <c r="X69" s="28">
        <v>2.5</v>
      </c>
    </row>
    <row r="70" spans="1:25">
      <c r="W70" s="41" t="e">
        <f>(X70-W66)/W65</f>
        <v>#DIV/0!</v>
      </c>
      <c r="X70" s="28">
        <v>7.33</v>
      </c>
    </row>
    <row r="72" spans="1:25">
      <c r="C72" s="29" t="s">
        <v>109</v>
      </c>
      <c r="M72" s="29" t="s">
        <v>110</v>
      </c>
    </row>
    <row r="73" spans="1:25">
      <c r="A73" s="28" t="s">
        <v>111</v>
      </c>
      <c r="D73" s="29" t="s">
        <v>112</v>
      </c>
      <c r="I73" s="29" t="s">
        <v>113</v>
      </c>
      <c r="J73" s="29" t="s">
        <v>114</v>
      </c>
      <c r="K73" s="29" t="s">
        <v>115</v>
      </c>
      <c r="M73" s="29" t="s">
        <v>116</v>
      </c>
      <c r="N73" s="29" t="s">
        <v>117</v>
      </c>
      <c r="O73" s="29" t="s">
        <v>115</v>
      </c>
      <c r="P73" s="29" t="s">
        <v>54</v>
      </c>
      <c r="S73" s="30" t="s">
        <v>42</v>
      </c>
      <c r="T73" s="28" t="s">
        <v>43</v>
      </c>
      <c r="V73" s="28" t="s">
        <v>118</v>
      </c>
    </row>
    <row r="74" spans="1:25">
      <c r="A74" s="28" t="str">
        <f t="shared" ref="A74:A105" si="17">A10</f>
        <v/>
      </c>
      <c r="D74" s="42">
        <f>$T$17</f>
        <v>0</v>
      </c>
      <c r="I74" s="29" t="b">
        <f t="shared" ref="I74:I105" si="18">IF(ISNUMBER(J74),M74)</f>
        <v>0</v>
      </c>
      <c r="J74" s="29" t="str">
        <f t="shared" ref="J74:J105" si="19">IF(A74&gt;0,A74,NA())</f>
        <v/>
      </c>
      <c r="K74" s="29" t="e">
        <f t="shared" ref="K74:K105" si="20">NORMSINV(S74)+5</f>
        <v>#VALUE!</v>
      </c>
      <c r="M74" s="29">
        <v>1</v>
      </c>
      <c r="N74" s="29" t="e">
        <f t="shared" ref="N74:N105" si="21">IF(M74&lt;$T$10+1,SMALL($A$10:$A$60,M74),NA())</f>
        <v>#N/A</v>
      </c>
      <c r="O74" s="29" t="e">
        <f t="shared" ref="O74:O105" si="22">NORMSINV(P74)+5</f>
        <v>#N/A</v>
      </c>
      <c r="P74" s="29" t="e">
        <f t="shared" ref="P74:P105" si="23">IF(M74&lt;$T$10+1,((M74)/($T$10+1)),NA())</f>
        <v>#N/A</v>
      </c>
      <c r="S74" s="30" t="e">
        <f t="shared" ref="S74:S105" si="24">((T74-0.5)/$T$10)</f>
        <v>#VALUE!</v>
      </c>
      <c r="T74" s="43" t="e">
        <f t="shared" ref="T74:T105" si="25">RANK(A10,$A$10:$A$60, 1)</f>
        <v>#VALUE!</v>
      </c>
      <c r="V74" s="28" t="s">
        <v>105</v>
      </c>
      <c r="W74" s="28" t="e">
        <f>SLOPE(I10:I60,K10:K60)</f>
        <v>#DIV/0!</v>
      </c>
    </row>
    <row r="75" spans="1:25">
      <c r="A75" s="28" t="str">
        <f t="shared" si="17"/>
        <v/>
      </c>
      <c r="C75" s="29">
        <v>1E-4</v>
      </c>
      <c r="D75" s="36">
        <f>IF(AND(0.00001&lt;$D$74,$D$74&lt;=0.0001),0.0001,0)</f>
        <v>0</v>
      </c>
      <c r="I75" s="29" t="b">
        <f t="shared" si="18"/>
        <v>0</v>
      </c>
      <c r="J75" s="29" t="str">
        <f t="shared" si="19"/>
        <v/>
      </c>
      <c r="K75" s="29" t="e">
        <f t="shared" si="20"/>
        <v>#VALUE!</v>
      </c>
      <c r="M75" s="29">
        <v>2</v>
      </c>
      <c r="N75" s="29" t="e">
        <f t="shared" si="21"/>
        <v>#N/A</v>
      </c>
      <c r="O75" s="29" t="e">
        <f t="shared" si="22"/>
        <v>#N/A</v>
      </c>
      <c r="P75" s="29" t="e">
        <f t="shared" si="23"/>
        <v>#N/A</v>
      </c>
      <c r="S75" s="30" t="e">
        <f t="shared" si="24"/>
        <v>#VALUE!</v>
      </c>
      <c r="T75" s="43" t="e">
        <f t="shared" si="25"/>
        <v>#VALUE!</v>
      </c>
      <c r="V75" s="28" t="s">
        <v>106</v>
      </c>
      <c r="W75" s="28" t="e">
        <f>INTERCEPT(I10:I60,K10:K60)</f>
        <v>#DIV/0!</v>
      </c>
    </row>
    <row r="76" spans="1:25">
      <c r="A76" s="28" t="str">
        <f t="shared" si="17"/>
        <v/>
      </c>
      <c r="C76" s="29">
        <v>1E-3</v>
      </c>
      <c r="D76" s="29">
        <f>IF(AND(0.0001&lt;$D$74,$D$74&lt;=0.001),0.001,0)</f>
        <v>0</v>
      </c>
      <c r="I76" s="29" t="b">
        <f t="shared" si="18"/>
        <v>0</v>
      </c>
      <c r="J76" s="29" t="str">
        <f t="shared" si="19"/>
        <v/>
      </c>
      <c r="K76" s="29" t="e">
        <f t="shared" si="20"/>
        <v>#VALUE!</v>
      </c>
      <c r="M76" s="29">
        <v>3</v>
      </c>
      <c r="N76" s="29" t="e">
        <f t="shared" si="21"/>
        <v>#N/A</v>
      </c>
      <c r="O76" s="29" t="e">
        <f t="shared" si="22"/>
        <v>#N/A</v>
      </c>
      <c r="P76" s="29" t="e">
        <f t="shared" si="23"/>
        <v>#N/A</v>
      </c>
      <c r="S76" s="30" t="e">
        <f t="shared" si="24"/>
        <v>#VALUE!</v>
      </c>
      <c r="T76" s="43" t="e">
        <f t="shared" si="25"/>
        <v>#VALUE!</v>
      </c>
    </row>
    <row r="77" spans="1:25">
      <c r="A77" s="28" t="str">
        <f t="shared" si="17"/>
        <v/>
      </c>
      <c r="C77" s="29">
        <v>0.01</v>
      </c>
      <c r="D77" s="29">
        <f>IF(AND(0.001&lt;$D$74,$D$74&lt;=0.01),0.01,0)</f>
        <v>0</v>
      </c>
      <c r="I77" s="29" t="b">
        <f t="shared" si="18"/>
        <v>0</v>
      </c>
      <c r="J77" s="29" t="str">
        <f t="shared" si="19"/>
        <v/>
      </c>
      <c r="K77" s="29" t="e">
        <f t="shared" si="20"/>
        <v>#VALUE!</v>
      </c>
      <c r="M77" s="29">
        <v>4</v>
      </c>
      <c r="N77" s="29" t="e">
        <f t="shared" si="21"/>
        <v>#N/A</v>
      </c>
      <c r="O77" s="29" t="e">
        <f t="shared" si="22"/>
        <v>#N/A</v>
      </c>
      <c r="P77" s="29" t="e">
        <f t="shared" si="23"/>
        <v>#N/A</v>
      </c>
      <c r="S77" s="30" t="e">
        <f t="shared" si="24"/>
        <v>#VALUE!</v>
      </c>
      <c r="T77" s="43" t="e">
        <f t="shared" si="25"/>
        <v>#VALUE!</v>
      </c>
      <c r="V77" s="28" t="s">
        <v>107</v>
      </c>
      <c r="W77" s="28" t="s">
        <v>57</v>
      </c>
      <c r="X77" s="28" t="s">
        <v>108</v>
      </c>
      <c r="Y77" s="28" t="s">
        <v>119</v>
      </c>
    </row>
    <row r="78" spans="1:25">
      <c r="A78" s="28" t="str">
        <f t="shared" si="17"/>
        <v/>
      </c>
      <c r="C78" s="29">
        <v>0.1</v>
      </c>
      <c r="D78" s="29">
        <f>IF(AND(0.01&lt;$D$74,$D$74&lt;=0.1),0.1,0)</f>
        <v>0</v>
      </c>
      <c r="I78" s="29" t="b">
        <f t="shared" si="18"/>
        <v>0</v>
      </c>
      <c r="J78" s="29" t="str">
        <f t="shared" si="19"/>
        <v/>
      </c>
      <c r="K78" s="29" t="e">
        <f t="shared" si="20"/>
        <v>#VALUE!</v>
      </c>
      <c r="M78" s="29">
        <v>5</v>
      </c>
      <c r="N78" s="29" t="e">
        <f t="shared" si="21"/>
        <v>#N/A</v>
      </c>
      <c r="O78" s="29" t="e">
        <f t="shared" si="22"/>
        <v>#N/A</v>
      </c>
      <c r="P78" s="29" t="e">
        <f t="shared" si="23"/>
        <v>#N/A</v>
      </c>
      <c r="S78" s="30" t="e">
        <f t="shared" si="24"/>
        <v>#VALUE!</v>
      </c>
      <c r="T78" s="43" t="e">
        <f t="shared" si="25"/>
        <v>#VALUE!</v>
      </c>
      <c r="V78" s="28" t="s">
        <v>120</v>
      </c>
      <c r="W78" s="41" t="e">
        <f>EXP(Y78)</f>
        <v>#DIV/0!</v>
      </c>
      <c r="X78" s="28">
        <v>2.5</v>
      </c>
      <c r="Y78" s="28" t="e">
        <f>(X78-W75)/W74</f>
        <v>#DIV/0!</v>
      </c>
    </row>
    <row r="79" spans="1:25">
      <c r="A79" s="28" t="str">
        <f t="shared" si="17"/>
        <v/>
      </c>
      <c r="C79" s="29">
        <v>1</v>
      </c>
      <c r="D79" s="29">
        <f>IF(AND(0.1&lt;$D$74,$D$74&lt;=1),1,0)</f>
        <v>0</v>
      </c>
      <c r="I79" s="29" t="b">
        <f t="shared" si="18"/>
        <v>0</v>
      </c>
      <c r="J79" s="29" t="str">
        <f t="shared" si="19"/>
        <v/>
      </c>
      <c r="K79" s="29" t="e">
        <f t="shared" si="20"/>
        <v>#VALUE!</v>
      </c>
      <c r="M79" s="29">
        <v>6</v>
      </c>
      <c r="N79" s="29" t="e">
        <f t="shared" si="21"/>
        <v>#N/A</v>
      </c>
      <c r="O79" s="29" t="e">
        <f t="shared" si="22"/>
        <v>#N/A</v>
      </c>
      <c r="P79" s="29" t="e">
        <f t="shared" si="23"/>
        <v>#N/A</v>
      </c>
      <c r="S79" s="30" t="e">
        <f t="shared" si="24"/>
        <v>#VALUE!</v>
      </c>
      <c r="T79" s="43" t="e">
        <f t="shared" si="25"/>
        <v>#VALUE!</v>
      </c>
      <c r="V79" s="28" t="s">
        <v>121</v>
      </c>
      <c r="W79" s="41" t="e">
        <f>EXP(Y79)</f>
        <v>#DIV/0!</v>
      </c>
      <c r="X79" s="28">
        <v>7.33</v>
      </c>
      <c r="Y79" s="28" t="e">
        <f>(X79-W75)/W74</f>
        <v>#DIV/0!</v>
      </c>
    </row>
    <row r="80" spans="1:25">
      <c r="A80" s="28" t="str">
        <f t="shared" si="17"/>
        <v/>
      </c>
      <c r="C80" s="29">
        <v>10</v>
      </c>
      <c r="D80" s="29">
        <f>IF(AND(1&lt;$D$74,$D$74&lt;=10),10,0)</f>
        <v>0</v>
      </c>
      <c r="I80" s="29" t="b">
        <f t="shared" si="18"/>
        <v>0</v>
      </c>
      <c r="J80" s="29" t="str">
        <f t="shared" si="19"/>
        <v/>
      </c>
      <c r="K80" s="29" t="e">
        <f t="shared" si="20"/>
        <v>#VALUE!</v>
      </c>
      <c r="M80" s="29">
        <v>7</v>
      </c>
      <c r="N80" s="29" t="e">
        <f t="shared" si="21"/>
        <v>#N/A</v>
      </c>
      <c r="O80" s="29" t="e">
        <f t="shared" si="22"/>
        <v>#N/A</v>
      </c>
      <c r="P80" s="29" t="e">
        <f t="shared" si="23"/>
        <v>#N/A</v>
      </c>
      <c r="S80" s="30" t="e">
        <f t="shared" si="24"/>
        <v>#VALUE!</v>
      </c>
      <c r="T80" s="43" t="e">
        <f t="shared" si="25"/>
        <v>#VALUE!</v>
      </c>
    </row>
    <row r="81" spans="1:31">
      <c r="A81" s="28" t="str">
        <f t="shared" si="17"/>
        <v/>
      </c>
      <c r="C81" s="29">
        <v>100</v>
      </c>
      <c r="D81" s="29">
        <f>IF(AND(10&lt;$D$74,$D$74&lt;=100),100,0)</f>
        <v>0</v>
      </c>
      <c r="I81" s="29" t="b">
        <f t="shared" si="18"/>
        <v>0</v>
      </c>
      <c r="J81" s="29" t="str">
        <f t="shared" si="19"/>
        <v/>
      </c>
      <c r="K81" s="29" t="e">
        <f t="shared" si="20"/>
        <v>#VALUE!</v>
      </c>
      <c r="M81" s="29">
        <v>8</v>
      </c>
      <c r="N81" s="29" t="e">
        <f t="shared" si="21"/>
        <v>#N/A</v>
      </c>
      <c r="O81" s="29" t="e">
        <f t="shared" si="22"/>
        <v>#N/A</v>
      </c>
      <c r="P81" s="29" t="e">
        <f t="shared" si="23"/>
        <v>#N/A</v>
      </c>
      <c r="S81" s="30" t="e">
        <f t="shared" si="24"/>
        <v>#VALUE!</v>
      </c>
      <c r="T81" s="43" t="e">
        <f t="shared" si="25"/>
        <v>#VALUE!</v>
      </c>
    </row>
    <row r="82" spans="1:31">
      <c r="A82" s="28">
        <f t="shared" si="17"/>
        <v>0</v>
      </c>
      <c r="C82" s="29">
        <v>1000</v>
      </c>
      <c r="D82" s="29">
        <f>IF(AND(100&lt;$D$74,$D$74&lt;=1000),1000,0)</f>
        <v>0</v>
      </c>
      <c r="I82" s="29" t="b">
        <f t="shared" si="18"/>
        <v>0</v>
      </c>
      <c r="J82" s="29" t="e">
        <f t="shared" si="19"/>
        <v>#N/A</v>
      </c>
      <c r="K82" s="29" t="e">
        <f t="shared" si="20"/>
        <v>#N/A</v>
      </c>
      <c r="M82" s="29">
        <v>9</v>
      </c>
      <c r="N82" s="29" t="e">
        <f t="shared" si="21"/>
        <v>#N/A</v>
      </c>
      <c r="O82" s="29" t="e">
        <f t="shared" si="22"/>
        <v>#N/A</v>
      </c>
      <c r="P82" s="29" t="e">
        <f t="shared" si="23"/>
        <v>#N/A</v>
      </c>
      <c r="S82" s="30" t="e">
        <f t="shared" si="24"/>
        <v>#N/A</v>
      </c>
      <c r="T82" s="43" t="e">
        <f t="shared" si="25"/>
        <v>#N/A</v>
      </c>
      <c r="Z82" s="28" t="s">
        <v>122</v>
      </c>
      <c r="AD82" s="28" t="s">
        <v>123</v>
      </c>
    </row>
    <row r="83" spans="1:31">
      <c r="A83" s="28">
        <f t="shared" si="17"/>
        <v>0</v>
      </c>
      <c r="C83" s="29">
        <v>10000</v>
      </c>
      <c r="D83" s="29">
        <f>IF(AND(1000&lt;$D$74,$D$74&lt;=10000),10000,0)</f>
        <v>0</v>
      </c>
      <c r="I83" s="29" t="b">
        <f t="shared" si="18"/>
        <v>0</v>
      </c>
      <c r="J83" s="29" t="e">
        <f t="shared" si="19"/>
        <v>#N/A</v>
      </c>
      <c r="K83" s="29" t="e">
        <f t="shared" si="20"/>
        <v>#N/A</v>
      </c>
      <c r="M83" s="29">
        <v>10</v>
      </c>
      <c r="N83" s="29" t="e">
        <f t="shared" si="21"/>
        <v>#N/A</v>
      </c>
      <c r="O83" s="29" t="e">
        <f t="shared" si="22"/>
        <v>#N/A</v>
      </c>
      <c r="P83" s="29" t="e">
        <f t="shared" si="23"/>
        <v>#N/A</v>
      </c>
      <c r="S83" s="30" t="e">
        <f t="shared" si="24"/>
        <v>#N/A</v>
      </c>
      <c r="T83" s="43" t="e">
        <f t="shared" si="25"/>
        <v>#N/A</v>
      </c>
      <c r="V83" s="28" t="s">
        <v>124</v>
      </c>
      <c r="X83" s="28" t="s">
        <v>125</v>
      </c>
      <c r="Z83" s="28" t="s">
        <v>126</v>
      </c>
      <c r="AA83" s="28">
        <f>NORMSINV(0.95)</f>
        <v>1.6448536269514715</v>
      </c>
      <c r="AD83" s="28" t="s">
        <v>127</v>
      </c>
      <c r="AE83" s="38">
        <f>T10</f>
        <v>0</v>
      </c>
    </row>
    <row r="84" spans="1:31">
      <c r="A84" s="28">
        <f t="shared" si="17"/>
        <v>0</v>
      </c>
      <c r="D84" s="36">
        <f>SUM(D75:D83)</f>
        <v>0</v>
      </c>
      <c r="I84" s="29" t="b">
        <f t="shared" si="18"/>
        <v>0</v>
      </c>
      <c r="J84" s="29" t="e">
        <f t="shared" si="19"/>
        <v>#N/A</v>
      </c>
      <c r="K84" s="29" t="e">
        <f t="shared" si="20"/>
        <v>#N/A</v>
      </c>
      <c r="M84" s="29">
        <v>11</v>
      </c>
      <c r="N84" s="29" t="e">
        <f t="shared" si="21"/>
        <v>#N/A</v>
      </c>
      <c r="O84" s="29" t="e">
        <f t="shared" si="22"/>
        <v>#N/A</v>
      </c>
      <c r="P84" s="29" t="e">
        <f t="shared" si="23"/>
        <v>#N/A</v>
      </c>
      <c r="S84" s="30" t="e">
        <f t="shared" si="24"/>
        <v>#N/A</v>
      </c>
      <c r="T84" s="43" t="e">
        <f t="shared" si="25"/>
        <v>#N/A</v>
      </c>
      <c r="V84" s="28" t="s">
        <v>128</v>
      </c>
      <c r="W84" s="38" t="e">
        <f>T20</f>
        <v>#DIV/0!</v>
      </c>
      <c r="Z84" s="28" t="s">
        <v>129</v>
      </c>
      <c r="AA84" s="28" t="e">
        <f>NORMSINV(LOGNORMDIST($B$6,$W$84,$W$85))</f>
        <v>#DIV/0!</v>
      </c>
      <c r="AB84" s="28" t="e">
        <f>LOGNORMDIST($B$6,$W$84,$W$85)</f>
        <v>#DIV/0!</v>
      </c>
      <c r="AD84" s="28" t="s">
        <v>130</v>
      </c>
      <c r="AE84" s="38" t="e">
        <f>T20</f>
        <v>#DIV/0!</v>
      </c>
    </row>
    <row r="85" spans="1:31">
      <c r="A85" s="28">
        <f t="shared" si="17"/>
        <v>0</v>
      </c>
      <c r="I85" s="29" t="b">
        <f t="shared" si="18"/>
        <v>0</v>
      </c>
      <c r="J85" s="29" t="e">
        <f t="shared" si="19"/>
        <v>#N/A</v>
      </c>
      <c r="K85" s="29" t="e">
        <f t="shared" si="20"/>
        <v>#N/A</v>
      </c>
      <c r="M85" s="29">
        <v>12</v>
      </c>
      <c r="N85" s="29" t="e">
        <f t="shared" si="21"/>
        <v>#N/A</v>
      </c>
      <c r="O85" s="29" t="e">
        <f t="shared" si="22"/>
        <v>#N/A</v>
      </c>
      <c r="P85" s="29" t="e">
        <f t="shared" si="23"/>
        <v>#N/A</v>
      </c>
      <c r="S85" s="30" t="e">
        <f t="shared" si="24"/>
        <v>#N/A</v>
      </c>
      <c r="T85" s="43" t="e">
        <f t="shared" si="25"/>
        <v>#N/A</v>
      </c>
      <c r="V85" s="28" t="s">
        <v>131</v>
      </c>
      <c r="W85" s="38" t="e">
        <f>T21</f>
        <v>#DIV/0!</v>
      </c>
      <c r="Z85" s="28" t="s">
        <v>132</v>
      </c>
      <c r="AA85" s="28">
        <f>(1/((2*$W$86)-3))-(1/($AA$83^2))</f>
        <v>-0.7029448428015288</v>
      </c>
      <c r="AD85" s="28" t="s">
        <v>133</v>
      </c>
      <c r="AE85" s="38" t="e">
        <f>T21</f>
        <v>#DIV/0!</v>
      </c>
    </row>
    <row r="86" spans="1:31">
      <c r="A86" s="28">
        <f t="shared" si="17"/>
        <v>0</v>
      </c>
      <c r="I86" s="29" t="b">
        <f t="shared" si="18"/>
        <v>0</v>
      </c>
      <c r="J86" s="29" t="e">
        <f t="shared" si="19"/>
        <v>#N/A</v>
      </c>
      <c r="K86" s="29" t="e">
        <f t="shared" si="20"/>
        <v>#N/A</v>
      </c>
      <c r="M86" s="29">
        <v>13</v>
      </c>
      <c r="N86" s="29" t="e">
        <f t="shared" si="21"/>
        <v>#N/A</v>
      </c>
      <c r="O86" s="29" t="e">
        <f t="shared" si="22"/>
        <v>#N/A</v>
      </c>
      <c r="P86" s="29" t="e">
        <f t="shared" si="23"/>
        <v>#N/A</v>
      </c>
      <c r="S86" s="30" t="e">
        <f t="shared" si="24"/>
        <v>#N/A</v>
      </c>
      <c r="T86" s="43" t="e">
        <f t="shared" si="25"/>
        <v>#N/A</v>
      </c>
      <c r="V86" s="28" t="s">
        <v>127</v>
      </c>
      <c r="W86" s="38">
        <f>T10</f>
        <v>0</v>
      </c>
      <c r="Z86" s="28" t="s">
        <v>134</v>
      </c>
      <c r="AA86" s="28" t="e">
        <f>((2*$AA$84)/($AA$83^2))*SQRT(((2*$W$86)-3)/((2*$W$86)-2))</f>
        <v>#DIV/0!</v>
      </c>
      <c r="AD86" s="28" t="s">
        <v>135</v>
      </c>
      <c r="AE86" s="28" t="e">
        <f>VLOOKUP(AE83,AD96:AE143,2)</f>
        <v>#N/A</v>
      </c>
    </row>
    <row r="87" spans="1:31">
      <c r="A87" s="28">
        <f t="shared" si="17"/>
        <v>0</v>
      </c>
      <c r="I87" s="29" t="b">
        <f t="shared" si="18"/>
        <v>0</v>
      </c>
      <c r="J87" s="29" t="e">
        <f t="shared" si="19"/>
        <v>#N/A</v>
      </c>
      <c r="K87" s="29" t="e">
        <f t="shared" si="20"/>
        <v>#N/A</v>
      </c>
      <c r="M87" s="29">
        <v>14</v>
      </c>
      <c r="N87" s="29" t="e">
        <f t="shared" si="21"/>
        <v>#N/A</v>
      </c>
      <c r="O87" s="29" t="e">
        <f t="shared" si="22"/>
        <v>#N/A</v>
      </c>
      <c r="P87" s="29" t="e">
        <f t="shared" si="23"/>
        <v>#N/A</v>
      </c>
      <c r="S87" s="30" t="e">
        <f t="shared" si="24"/>
        <v>#N/A</v>
      </c>
      <c r="T87" s="43" t="e">
        <f t="shared" si="25"/>
        <v>#N/A</v>
      </c>
      <c r="V87" s="28" t="s">
        <v>136</v>
      </c>
      <c r="W87" s="28" t="e">
        <f>((W85)^2)/2</f>
        <v>#DIV/0!</v>
      </c>
      <c r="Z87" s="28" t="s">
        <v>137</v>
      </c>
      <c r="AA87" s="28" t="e">
        <f>(1/$W$86)-((($AA$84^2)/($AA$83^2))*(((2*$W$86)-3)/((2*$W$86)-2)))</f>
        <v>#DIV/0!</v>
      </c>
      <c r="AD87" s="28" t="s">
        <v>138</v>
      </c>
      <c r="AE87" s="28" t="e">
        <f>EXP(AE84+(AE86*AE85))</f>
        <v>#DIV/0!</v>
      </c>
    </row>
    <row r="88" spans="1:31">
      <c r="A88" s="28">
        <f t="shared" si="17"/>
        <v>0</v>
      </c>
      <c r="I88" s="29" t="b">
        <f t="shared" si="18"/>
        <v>0</v>
      </c>
      <c r="J88" s="29" t="e">
        <f t="shared" si="19"/>
        <v>#N/A</v>
      </c>
      <c r="K88" s="29" t="e">
        <f t="shared" si="20"/>
        <v>#N/A</v>
      </c>
      <c r="M88" s="29">
        <v>15</v>
      </c>
      <c r="N88" s="29" t="e">
        <f t="shared" si="21"/>
        <v>#N/A</v>
      </c>
      <c r="O88" s="29" t="e">
        <f t="shared" si="22"/>
        <v>#N/A</v>
      </c>
      <c r="P88" s="29" t="e">
        <f t="shared" si="23"/>
        <v>#N/A</v>
      </c>
      <c r="S88" s="30" t="e">
        <f t="shared" si="24"/>
        <v>#N/A</v>
      </c>
      <c r="T88" s="43" t="e">
        <f t="shared" si="25"/>
        <v>#N/A</v>
      </c>
      <c r="W88" s="28">
        <v>1</v>
      </c>
      <c r="X88" s="28">
        <v>1</v>
      </c>
    </row>
    <row r="89" spans="1:31">
      <c r="A89" s="28">
        <f t="shared" si="17"/>
        <v>0</v>
      </c>
      <c r="I89" s="29" t="b">
        <f t="shared" si="18"/>
        <v>0</v>
      </c>
      <c r="J89" s="29" t="e">
        <f t="shared" si="19"/>
        <v>#N/A</v>
      </c>
      <c r="K89" s="29" t="e">
        <f t="shared" si="20"/>
        <v>#N/A</v>
      </c>
      <c r="M89" s="29">
        <v>16</v>
      </c>
      <c r="N89" s="29" t="e">
        <f t="shared" si="21"/>
        <v>#N/A</v>
      </c>
      <c r="O89" s="29" t="e">
        <f t="shared" si="22"/>
        <v>#N/A</v>
      </c>
      <c r="P89" s="29" t="e">
        <f t="shared" si="23"/>
        <v>#N/A</v>
      </c>
      <c r="S89" s="30" t="e">
        <f t="shared" si="24"/>
        <v>#N/A</v>
      </c>
      <c r="T89" s="43" t="e">
        <f t="shared" si="25"/>
        <v>#N/A</v>
      </c>
      <c r="V89" s="28" t="s">
        <v>139</v>
      </c>
      <c r="W89" s="28" t="e">
        <f>($W$86-1)*((($W$85)^2)/2)/$W$86</f>
        <v>#DIV/0!</v>
      </c>
      <c r="X89" s="28" t="e">
        <f>($W$86-1)*$W$87/$W$86</f>
        <v>#DIV/0!</v>
      </c>
      <c r="Z89" s="28" t="s">
        <v>140</v>
      </c>
      <c r="AA89" s="28" t="e">
        <f>$AA$86^2</f>
        <v>#DIV/0!</v>
      </c>
    </row>
    <row r="90" spans="1:31">
      <c r="A90" s="28">
        <f t="shared" si="17"/>
        <v>0</v>
      </c>
      <c r="I90" s="29" t="b">
        <f t="shared" si="18"/>
        <v>0</v>
      </c>
      <c r="J90" s="29" t="e">
        <f t="shared" si="19"/>
        <v>#N/A</v>
      </c>
      <c r="K90" s="29" t="e">
        <f t="shared" si="20"/>
        <v>#N/A</v>
      </c>
      <c r="M90" s="29">
        <v>17</v>
      </c>
      <c r="N90" s="29" t="e">
        <f t="shared" si="21"/>
        <v>#N/A</v>
      </c>
      <c r="O90" s="29" t="e">
        <f t="shared" si="22"/>
        <v>#N/A</v>
      </c>
      <c r="P90" s="29" t="e">
        <f t="shared" si="23"/>
        <v>#N/A</v>
      </c>
      <c r="S90" s="30" t="e">
        <f t="shared" si="24"/>
        <v>#N/A</v>
      </c>
      <c r="T90" s="43" t="e">
        <f t="shared" si="25"/>
        <v>#N/A</v>
      </c>
      <c r="V90" s="28" t="s">
        <v>141</v>
      </c>
      <c r="W90" s="28" t="e">
        <f>(($W$86-1)^3)*(((($W$85)^2)/2)^2)/(FACT(2)*(($W$86)^2)*($W$86+1))</f>
        <v>#DIV/0!</v>
      </c>
      <c r="X90" s="28" t="e">
        <f>(($W$86-1)^3)*(($W$87)^2)/((FACT(2))*(($W$86)^2)*($W$86+1))</f>
        <v>#DIV/0!</v>
      </c>
      <c r="Z90" s="28" t="s">
        <v>142</v>
      </c>
      <c r="AA90" s="28" t="e">
        <f>4*$AA$85*$AA$87</f>
        <v>#DIV/0!</v>
      </c>
      <c r="AB90" s="28" t="e">
        <f>AB91+AA90</f>
        <v>#DIV/0!</v>
      </c>
    </row>
    <row r="91" spans="1:31">
      <c r="A91" s="28">
        <f t="shared" si="17"/>
        <v>0</v>
      </c>
      <c r="I91" s="29" t="b">
        <f t="shared" si="18"/>
        <v>0</v>
      </c>
      <c r="J91" s="29" t="e">
        <f t="shared" si="19"/>
        <v>#N/A</v>
      </c>
      <c r="K91" s="29" t="e">
        <f t="shared" si="20"/>
        <v>#N/A</v>
      </c>
      <c r="M91" s="29">
        <v>18</v>
      </c>
      <c r="N91" s="29" t="e">
        <f t="shared" si="21"/>
        <v>#N/A</v>
      </c>
      <c r="O91" s="29" t="e">
        <f t="shared" si="22"/>
        <v>#N/A</v>
      </c>
      <c r="P91" s="29" t="e">
        <f t="shared" si="23"/>
        <v>#N/A</v>
      </c>
      <c r="S91" s="30" t="e">
        <f t="shared" si="24"/>
        <v>#N/A</v>
      </c>
      <c r="T91" s="43" t="e">
        <f t="shared" si="25"/>
        <v>#N/A</v>
      </c>
      <c r="V91" s="28" t="s">
        <v>143</v>
      </c>
      <c r="W91" s="28" t="e">
        <f>(($W$86-1)^5)*(((($W$85)^2)/2)^3)/(FACT(3)*(($W$86)^3)*($W$86+1)*($W$86+3))</f>
        <v>#DIV/0!</v>
      </c>
      <c r="X91" s="28" t="e">
        <f>(($W$86-1)^5)*(($W$87)^3)/((FACT(3))*(($W$86)^3)*($W$86+1)*($W$86+3))</f>
        <v>#DIV/0!</v>
      </c>
      <c r="Z91" s="28" t="s">
        <v>144</v>
      </c>
      <c r="AA91" s="28" t="e">
        <f>SQRT($AA$89-$AA$90)</f>
        <v>#DIV/0!</v>
      </c>
      <c r="AB91" s="28" t="e">
        <f>AA91^2</f>
        <v>#DIV/0!</v>
      </c>
    </row>
    <row r="92" spans="1:31">
      <c r="A92" s="28">
        <f t="shared" si="17"/>
        <v>0</v>
      </c>
      <c r="I92" s="29" t="b">
        <f t="shared" si="18"/>
        <v>0</v>
      </c>
      <c r="J92" s="29" t="e">
        <f t="shared" si="19"/>
        <v>#N/A</v>
      </c>
      <c r="K92" s="29" t="e">
        <f t="shared" si="20"/>
        <v>#N/A</v>
      </c>
      <c r="M92" s="29">
        <v>19</v>
      </c>
      <c r="N92" s="29" t="e">
        <f t="shared" si="21"/>
        <v>#N/A</v>
      </c>
      <c r="O92" s="29" t="e">
        <f t="shared" si="22"/>
        <v>#N/A</v>
      </c>
      <c r="P92" s="29" t="e">
        <f t="shared" si="23"/>
        <v>#N/A</v>
      </c>
      <c r="S92" s="30" t="e">
        <f t="shared" si="24"/>
        <v>#N/A</v>
      </c>
      <c r="T92" s="43" t="e">
        <f t="shared" si="25"/>
        <v>#N/A</v>
      </c>
      <c r="V92" s="28" t="s">
        <v>145</v>
      </c>
      <c r="W92" s="28" t="e">
        <f>(($W$86-1)^7)*(((($W$85)^2)/2)^4)/(FACT(4)*(($W$86)^4)*($W$86+1)*($W$86+3)*($W$86+5))</f>
        <v>#DIV/0!</v>
      </c>
      <c r="X92" s="28" t="e">
        <f>(($W$86-1)^7)*(($W$87)^4)/((FACT(4))*(($W$86)^4)*($W$86+1)*($W$86+3)*($W$86+5))</f>
        <v>#DIV/0!</v>
      </c>
      <c r="Z92" s="28" t="s">
        <v>146</v>
      </c>
      <c r="AA92" s="28">
        <f>2*$AA$85</f>
        <v>-1.4058896856030576</v>
      </c>
    </row>
    <row r="93" spans="1:31">
      <c r="A93" s="28">
        <f t="shared" si="17"/>
        <v>0</v>
      </c>
      <c r="I93" s="29" t="b">
        <f t="shared" si="18"/>
        <v>0</v>
      </c>
      <c r="J93" s="29" t="e">
        <f t="shared" si="19"/>
        <v>#N/A</v>
      </c>
      <c r="K93" s="29" t="e">
        <f t="shared" si="20"/>
        <v>#N/A</v>
      </c>
      <c r="M93" s="29">
        <v>20</v>
      </c>
      <c r="N93" s="29" t="e">
        <f t="shared" si="21"/>
        <v>#N/A</v>
      </c>
      <c r="O93" s="29" t="e">
        <f t="shared" si="22"/>
        <v>#N/A</v>
      </c>
      <c r="P93" s="29" t="e">
        <f t="shared" si="23"/>
        <v>#N/A</v>
      </c>
      <c r="S93" s="30" t="e">
        <f t="shared" si="24"/>
        <v>#N/A</v>
      </c>
      <c r="T93" s="43" t="e">
        <f t="shared" si="25"/>
        <v>#N/A</v>
      </c>
      <c r="V93" s="28" t="s">
        <v>147</v>
      </c>
      <c r="W93" s="28" t="e">
        <f>(($W$86-1)^9)*(((($W$85)^2)/2)^5)/(FACT(5)*(($W$86)^5)*($W$86+1)*($W$86+3)*($W$86+5)*($W$86+7))</f>
        <v>#DIV/0!</v>
      </c>
      <c r="X93" s="28" t="e">
        <f>(($W$86-1)^9)*(($W$87)^5)/((FACT(5))*(($W$86)^5)*($W$86+1)*($W$86+3)*($W$86+5)*($W$86+7))</f>
        <v>#DIV/0!</v>
      </c>
      <c r="Z93" s="28" t="s">
        <v>148</v>
      </c>
      <c r="AA93" s="28" t="e">
        <f>(-$AA$86-$AA$91)/$AA$92</f>
        <v>#DIV/0!</v>
      </c>
      <c r="AB93" s="28" t="e">
        <f>(-$AA$86+$AA$91)/$AA$92</f>
        <v>#DIV/0!</v>
      </c>
    </row>
    <row r="94" spans="1:31">
      <c r="A94" s="28">
        <f t="shared" si="17"/>
        <v>0</v>
      </c>
      <c r="I94" s="29" t="b">
        <f t="shared" si="18"/>
        <v>0</v>
      </c>
      <c r="J94" s="29" t="e">
        <f t="shared" si="19"/>
        <v>#N/A</v>
      </c>
      <c r="K94" s="29" t="e">
        <f t="shared" si="20"/>
        <v>#N/A</v>
      </c>
      <c r="M94" s="29">
        <v>21</v>
      </c>
      <c r="N94" s="29" t="e">
        <f t="shared" si="21"/>
        <v>#N/A</v>
      </c>
      <c r="O94" s="29" t="e">
        <f t="shared" si="22"/>
        <v>#N/A</v>
      </c>
      <c r="P94" s="29" t="e">
        <f t="shared" si="23"/>
        <v>#N/A</v>
      </c>
      <c r="S94" s="30" t="e">
        <f t="shared" si="24"/>
        <v>#N/A</v>
      </c>
      <c r="T94" s="43" t="e">
        <f t="shared" si="25"/>
        <v>#N/A</v>
      </c>
      <c r="V94" s="28" t="s">
        <v>149</v>
      </c>
      <c r="X94" s="28" t="e">
        <f>(($W$86-1)^11)*(($W$87)^6)/((FACT(6))*(($W$86)^6)*($W$86+1)*($W$86+3)*($W$86+5)*($W$86+7)*($W$86+9))</f>
        <v>#DIV/0!</v>
      </c>
      <c r="Z94" s="28" t="s">
        <v>150</v>
      </c>
      <c r="AA94" s="28" t="e">
        <f>100*(1-NORMSDIST($AA$93))</f>
        <v>#DIV/0!</v>
      </c>
      <c r="AB94" s="28" t="e">
        <f>100*(1-NORMSDIST($AB$93))</f>
        <v>#DIV/0!</v>
      </c>
      <c r="AD94" s="28" t="s">
        <v>151</v>
      </c>
    </row>
    <row r="95" spans="1:31">
      <c r="A95" s="28">
        <f t="shared" si="17"/>
        <v>0</v>
      </c>
      <c r="I95" s="29" t="b">
        <f t="shared" si="18"/>
        <v>0</v>
      </c>
      <c r="J95" s="29" t="e">
        <f t="shared" si="19"/>
        <v>#N/A</v>
      </c>
      <c r="K95" s="29" t="e">
        <f t="shared" si="20"/>
        <v>#N/A</v>
      </c>
      <c r="M95" s="29">
        <v>22</v>
      </c>
      <c r="N95" s="29" t="e">
        <f t="shared" si="21"/>
        <v>#N/A</v>
      </c>
      <c r="O95" s="29" t="e">
        <f t="shared" si="22"/>
        <v>#N/A</v>
      </c>
      <c r="P95" s="29" t="e">
        <f t="shared" si="23"/>
        <v>#N/A</v>
      </c>
      <c r="S95" s="30" t="e">
        <f t="shared" si="24"/>
        <v>#N/A</v>
      </c>
      <c r="T95" s="43" t="e">
        <f t="shared" si="25"/>
        <v>#N/A</v>
      </c>
      <c r="V95" s="28" t="s">
        <v>152</v>
      </c>
      <c r="W95" s="28" t="e">
        <f>SUM(W88:W93)</f>
        <v>#DIV/0!</v>
      </c>
      <c r="X95" s="28" t="e">
        <f>SUM(X88:X94)</f>
        <v>#DIV/0!</v>
      </c>
      <c r="AD95" s="28" t="s">
        <v>127</v>
      </c>
      <c r="AE95" s="28" t="s">
        <v>153</v>
      </c>
    </row>
    <row r="96" spans="1:31">
      <c r="A96" s="28">
        <f t="shared" si="17"/>
        <v>0</v>
      </c>
      <c r="I96" s="29" t="b">
        <f t="shared" si="18"/>
        <v>0</v>
      </c>
      <c r="J96" s="29" t="e">
        <f t="shared" si="19"/>
        <v>#N/A</v>
      </c>
      <c r="K96" s="29" t="e">
        <f t="shared" si="20"/>
        <v>#N/A</v>
      </c>
      <c r="M96" s="29">
        <v>23</v>
      </c>
      <c r="N96" s="29" t="e">
        <f t="shared" si="21"/>
        <v>#N/A</v>
      </c>
      <c r="O96" s="29" t="e">
        <f t="shared" si="22"/>
        <v>#N/A</v>
      </c>
      <c r="P96" s="29" t="e">
        <f t="shared" si="23"/>
        <v>#N/A</v>
      </c>
      <c r="S96" s="30" t="e">
        <f t="shared" si="24"/>
        <v>#N/A</v>
      </c>
      <c r="T96" s="43" t="e">
        <f t="shared" si="25"/>
        <v>#N/A</v>
      </c>
      <c r="V96" s="28" t="s">
        <v>154</v>
      </c>
      <c r="W96" s="28" t="e">
        <f>EXP(W84)*W95</f>
        <v>#DIV/0!</v>
      </c>
      <c r="X96" s="28" t="e">
        <f>EXP(W84)*X95</f>
        <v>#DIV/0!</v>
      </c>
      <c r="AD96" s="28">
        <v>3</v>
      </c>
      <c r="AE96" s="28">
        <v>7.6550000000000002</v>
      </c>
    </row>
    <row r="97" spans="1:31">
      <c r="A97" s="28">
        <f t="shared" si="17"/>
        <v>0</v>
      </c>
      <c r="I97" s="29" t="b">
        <f t="shared" si="18"/>
        <v>0</v>
      </c>
      <c r="J97" s="29" t="e">
        <f t="shared" si="19"/>
        <v>#N/A</v>
      </c>
      <c r="K97" s="29" t="e">
        <f t="shared" si="20"/>
        <v>#N/A</v>
      </c>
      <c r="M97" s="29">
        <v>24</v>
      </c>
      <c r="N97" s="29" t="e">
        <f t="shared" si="21"/>
        <v>#N/A</v>
      </c>
      <c r="O97" s="29" t="e">
        <f t="shared" si="22"/>
        <v>#N/A</v>
      </c>
      <c r="P97" s="29" t="e">
        <f t="shared" si="23"/>
        <v>#N/A</v>
      </c>
      <c r="S97" s="30" t="e">
        <f t="shared" si="24"/>
        <v>#N/A</v>
      </c>
      <c r="T97" s="43" t="e">
        <f t="shared" si="25"/>
        <v>#N/A</v>
      </c>
      <c r="AD97" s="28">
        <v>4</v>
      </c>
      <c r="AE97" s="28">
        <v>5.1449999999999996</v>
      </c>
    </row>
    <row r="98" spans="1:31">
      <c r="A98" s="28">
        <f t="shared" si="17"/>
        <v>0</v>
      </c>
      <c r="I98" s="29" t="b">
        <f t="shared" si="18"/>
        <v>0</v>
      </c>
      <c r="J98" s="29" t="e">
        <f t="shared" si="19"/>
        <v>#N/A</v>
      </c>
      <c r="K98" s="29" t="e">
        <f t="shared" si="20"/>
        <v>#N/A</v>
      </c>
      <c r="M98" s="29">
        <v>25</v>
      </c>
      <c r="N98" s="29" t="e">
        <f t="shared" si="21"/>
        <v>#N/A</v>
      </c>
      <c r="O98" s="29" t="e">
        <f t="shared" si="22"/>
        <v>#N/A</v>
      </c>
      <c r="P98" s="29" t="e">
        <f t="shared" si="23"/>
        <v>#N/A</v>
      </c>
      <c r="S98" s="30" t="e">
        <f t="shared" si="24"/>
        <v>#N/A</v>
      </c>
      <c r="T98" s="43" t="e">
        <f t="shared" si="25"/>
        <v>#N/A</v>
      </c>
      <c r="V98" s="28" t="s">
        <v>155</v>
      </c>
      <c r="W98" s="28" t="e">
        <f>EXP(W84+((W85)^2)/2)</f>
        <v>#DIV/0!</v>
      </c>
      <c r="X98" s="28" t="e">
        <f>EXP(W84)*EXP(W87)</f>
        <v>#DIV/0!</v>
      </c>
      <c r="AD98" s="28">
        <v>5</v>
      </c>
      <c r="AE98" s="28">
        <v>4.202</v>
      </c>
    </row>
    <row r="99" spans="1:31">
      <c r="A99" s="28">
        <f t="shared" si="17"/>
        <v>0</v>
      </c>
      <c r="I99" s="29" t="b">
        <f t="shared" si="18"/>
        <v>0</v>
      </c>
      <c r="J99" s="29" t="e">
        <f t="shared" si="19"/>
        <v>#N/A</v>
      </c>
      <c r="K99" s="29" t="e">
        <f t="shared" si="20"/>
        <v>#N/A</v>
      </c>
      <c r="M99" s="29">
        <v>26</v>
      </c>
      <c r="N99" s="29" t="e">
        <f t="shared" si="21"/>
        <v>#N/A</v>
      </c>
      <c r="O99" s="29" t="e">
        <f t="shared" si="22"/>
        <v>#N/A</v>
      </c>
      <c r="P99" s="29" t="e">
        <f t="shared" si="23"/>
        <v>#N/A</v>
      </c>
      <c r="S99" s="30" t="e">
        <f t="shared" si="24"/>
        <v>#N/A</v>
      </c>
      <c r="T99" s="43" t="e">
        <f t="shared" si="25"/>
        <v>#N/A</v>
      </c>
      <c r="AD99" s="28">
        <v>6</v>
      </c>
      <c r="AE99" s="28">
        <v>3.7069999999999999</v>
      </c>
    </row>
    <row r="100" spans="1:31">
      <c r="A100" s="28">
        <f t="shared" si="17"/>
        <v>0</v>
      </c>
      <c r="I100" s="29" t="b">
        <f t="shared" si="18"/>
        <v>0</v>
      </c>
      <c r="J100" s="29" t="e">
        <f t="shared" si="19"/>
        <v>#N/A</v>
      </c>
      <c r="K100" s="29" t="e">
        <f t="shared" si="20"/>
        <v>#N/A</v>
      </c>
      <c r="M100" s="29">
        <v>27</v>
      </c>
      <c r="N100" s="29" t="e">
        <f t="shared" si="21"/>
        <v>#N/A</v>
      </c>
      <c r="O100" s="29" t="e">
        <f t="shared" si="22"/>
        <v>#N/A</v>
      </c>
      <c r="P100" s="29" t="e">
        <f t="shared" si="23"/>
        <v>#N/A</v>
      </c>
      <c r="S100" s="30" t="e">
        <f t="shared" si="24"/>
        <v>#N/A</v>
      </c>
      <c r="T100" s="43" t="e">
        <f t="shared" si="25"/>
        <v>#N/A</v>
      </c>
      <c r="AD100" s="28">
        <v>7</v>
      </c>
      <c r="AE100" s="28">
        <v>3.399</v>
      </c>
    </row>
    <row r="101" spans="1:31">
      <c r="A101" s="28">
        <f t="shared" si="17"/>
        <v>0</v>
      </c>
      <c r="I101" s="29" t="b">
        <f t="shared" si="18"/>
        <v>0</v>
      </c>
      <c r="J101" s="29" t="e">
        <f t="shared" si="19"/>
        <v>#N/A</v>
      </c>
      <c r="K101" s="29" t="e">
        <f t="shared" si="20"/>
        <v>#N/A</v>
      </c>
      <c r="M101" s="29">
        <v>28</v>
      </c>
      <c r="N101" s="29" t="e">
        <f t="shared" si="21"/>
        <v>#N/A</v>
      </c>
      <c r="O101" s="29" t="e">
        <f t="shared" si="22"/>
        <v>#N/A</v>
      </c>
      <c r="P101" s="29" t="e">
        <f t="shared" si="23"/>
        <v>#N/A</v>
      </c>
      <c r="S101" s="30" t="e">
        <f t="shared" si="24"/>
        <v>#N/A</v>
      </c>
      <c r="T101" s="43" t="e">
        <f t="shared" si="25"/>
        <v>#N/A</v>
      </c>
      <c r="AD101" s="28">
        <v>8</v>
      </c>
      <c r="AE101" s="28">
        <v>3.1880000000000002</v>
      </c>
    </row>
    <row r="102" spans="1:31">
      <c r="A102" s="28">
        <f t="shared" si="17"/>
        <v>0</v>
      </c>
      <c r="I102" s="29" t="b">
        <f t="shared" si="18"/>
        <v>0</v>
      </c>
      <c r="J102" s="29" t="e">
        <f t="shared" si="19"/>
        <v>#N/A</v>
      </c>
      <c r="K102" s="29" t="e">
        <f t="shared" si="20"/>
        <v>#N/A</v>
      </c>
      <c r="M102" s="29">
        <v>29</v>
      </c>
      <c r="N102" s="29" t="e">
        <f t="shared" si="21"/>
        <v>#N/A</v>
      </c>
      <c r="O102" s="29" t="e">
        <f t="shared" si="22"/>
        <v>#N/A</v>
      </c>
      <c r="P102" s="29" t="e">
        <f t="shared" si="23"/>
        <v>#N/A</v>
      </c>
      <c r="S102" s="30" t="e">
        <f t="shared" si="24"/>
        <v>#N/A</v>
      </c>
      <c r="T102" s="43" t="e">
        <f t="shared" si="25"/>
        <v>#N/A</v>
      </c>
      <c r="AD102" s="28">
        <v>9</v>
      </c>
      <c r="AE102" s="28">
        <v>3.0310000000000001</v>
      </c>
    </row>
    <row r="103" spans="1:31">
      <c r="A103" s="28">
        <f t="shared" si="17"/>
        <v>0</v>
      </c>
      <c r="I103" s="29" t="b">
        <f t="shared" si="18"/>
        <v>0</v>
      </c>
      <c r="J103" s="29" t="e">
        <f t="shared" si="19"/>
        <v>#N/A</v>
      </c>
      <c r="K103" s="29" t="e">
        <f t="shared" si="20"/>
        <v>#N/A</v>
      </c>
      <c r="M103" s="29">
        <v>30</v>
      </c>
      <c r="N103" s="29" t="e">
        <f t="shared" si="21"/>
        <v>#N/A</v>
      </c>
      <c r="O103" s="29" t="e">
        <f t="shared" si="22"/>
        <v>#N/A</v>
      </c>
      <c r="P103" s="29" t="e">
        <f t="shared" si="23"/>
        <v>#N/A</v>
      </c>
      <c r="S103" s="30" t="e">
        <f t="shared" si="24"/>
        <v>#N/A</v>
      </c>
      <c r="T103" s="43" t="e">
        <f t="shared" si="25"/>
        <v>#N/A</v>
      </c>
      <c r="AD103" s="28">
        <v>10</v>
      </c>
      <c r="AE103" s="28">
        <v>2.911</v>
      </c>
    </row>
    <row r="104" spans="1:31">
      <c r="A104" s="28">
        <f t="shared" si="17"/>
        <v>0</v>
      </c>
      <c r="I104" s="29" t="b">
        <f t="shared" si="18"/>
        <v>0</v>
      </c>
      <c r="J104" s="29" t="e">
        <f t="shared" si="19"/>
        <v>#N/A</v>
      </c>
      <c r="K104" s="29" t="e">
        <f t="shared" si="20"/>
        <v>#N/A</v>
      </c>
      <c r="M104" s="29">
        <v>31</v>
      </c>
      <c r="N104" s="29" t="e">
        <f t="shared" si="21"/>
        <v>#N/A</v>
      </c>
      <c r="O104" s="29" t="e">
        <f t="shared" si="22"/>
        <v>#N/A</v>
      </c>
      <c r="P104" s="29" t="e">
        <f t="shared" si="23"/>
        <v>#N/A</v>
      </c>
      <c r="S104" s="30" t="e">
        <f t="shared" si="24"/>
        <v>#N/A</v>
      </c>
      <c r="T104" s="43" t="e">
        <f t="shared" si="25"/>
        <v>#N/A</v>
      </c>
      <c r="AD104" s="28">
        <v>11</v>
      </c>
      <c r="AE104" s="28">
        <v>2.8149999999999999</v>
      </c>
    </row>
    <row r="105" spans="1:31">
      <c r="A105" s="28">
        <f t="shared" si="17"/>
        <v>0</v>
      </c>
      <c r="I105" s="29" t="b">
        <f t="shared" si="18"/>
        <v>0</v>
      </c>
      <c r="J105" s="29" t="e">
        <f t="shared" si="19"/>
        <v>#N/A</v>
      </c>
      <c r="K105" s="29" t="e">
        <f t="shared" si="20"/>
        <v>#N/A</v>
      </c>
      <c r="M105" s="29">
        <v>32</v>
      </c>
      <c r="N105" s="29" t="e">
        <f t="shared" si="21"/>
        <v>#N/A</v>
      </c>
      <c r="O105" s="29" t="e">
        <f t="shared" si="22"/>
        <v>#N/A</v>
      </c>
      <c r="P105" s="29" t="e">
        <f t="shared" si="23"/>
        <v>#N/A</v>
      </c>
      <c r="S105" s="30" t="e">
        <f t="shared" si="24"/>
        <v>#N/A</v>
      </c>
      <c r="T105" s="43" t="e">
        <f t="shared" si="25"/>
        <v>#N/A</v>
      </c>
      <c r="AD105" s="28">
        <v>12</v>
      </c>
      <c r="AE105" s="28">
        <v>2.7360000000000002</v>
      </c>
    </row>
    <row r="106" spans="1:31">
      <c r="A106" s="28">
        <f t="shared" ref="A106:A124" si="26">A42</f>
        <v>0</v>
      </c>
      <c r="I106" s="29" t="b">
        <f t="shared" ref="I106:I123" si="27">IF(ISNUMBER(J106),M106)</f>
        <v>0</v>
      </c>
      <c r="J106" s="29" t="e">
        <f t="shared" ref="J106:J123" si="28">IF(A106&gt;0,A106,NA())</f>
        <v>#N/A</v>
      </c>
      <c r="K106" s="29" t="e">
        <f t="shared" ref="K106:K124" si="29">NORMSINV(S106)+5</f>
        <v>#N/A</v>
      </c>
      <c r="M106" s="29">
        <v>33</v>
      </c>
      <c r="N106" s="29" t="e">
        <f t="shared" ref="N106:N123" si="30">IF(M106&lt;$T$10+1,SMALL($A$10:$A$60,M106),NA())</f>
        <v>#N/A</v>
      </c>
      <c r="O106" s="29" t="e">
        <f t="shared" ref="O106:O123" si="31">NORMSINV(P106)+5</f>
        <v>#N/A</v>
      </c>
      <c r="P106" s="29" t="e">
        <f t="shared" ref="P106:P123" si="32">IF(M106&lt;$T$10+1,((M106)/($T$10+1)),NA())</f>
        <v>#N/A</v>
      </c>
      <c r="S106" s="30" t="e">
        <f t="shared" ref="S106:S124" si="33">((T106-0.5)/$T$10)</f>
        <v>#N/A</v>
      </c>
      <c r="T106" s="43" t="e">
        <f t="shared" ref="T106:T124" si="34">RANK(A42,$A$10:$A$60, 1)</f>
        <v>#N/A</v>
      </c>
      <c r="AD106" s="28">
        <v>13</v>
      </c>
      <c r="AE106" s="28">
        <v>2.67</v>
      </c>
    </row>
    <row r="107" spans="1:31">
      <c r="A107" s="28">
        <f t="shared" si="26"/>
        <v>0</v>
      </c>
      <c r="I107" s="29" t="b">
        <f t="shared" si="27"/>
        <v>0</v>
      </c>
      <c r="J107" s="29" t="e">
        <f t="shared" si="28"/>
        <v>#N/A</v>
      </c>
      <c r="K107" s="29" t="e">
        <f t="shared" si="29"/>
        <v>#N/A</v>
      </c>
      <c r="M107" s="29">
        <v>34</v>
      </c>
      <c r="N107" s="29" t="e">
        <f t="shared" si="30"/>
        <v>#N/A</v>
      </c>
      <c r="O107" s="29" t="e">
        <f t="shared" si="31"/>
        <v>#N/A</v>
      </c>
      <c r="P107" s="29" t="e">
        <f t="shared" si="32"/>
        <v>#N/A</v>
      </c>
      <c r="S107" s="30" t="e">
        <f t="shared" si="33"/>
        <v>#N/A</v>
      </c>
      <c r="T107" s="43" t="e">
        <f t="shared" si="34"/>
        <v>#N/A</v>
      </c>
      <c r="AD107" s="28">
        <v>14</v>
      </c>
      <c r="AE107" s="28">
        <v>2.6139999999999999</v>
      </c>
    </row>
    <row r="108" spans="1:31">
      <c r="A108" s="28">
        <f t="shared" si="26"/>
        <v>0</v>
      </c>
      <c r="I108" s="29" t="b">
        <f t="shared" si="27"/>
        <v>0</v>
      </c>
      <c r="J108" s="29" t="e">
        <f t="shared" si="28"/>
        <v>#N/A</v>
      </c>
      <c r="K108" s="29" t="e">
        <f t="shared" si="29"/>
        <v>#N/A</v>
      </c>
      <c r="M108" s="29">
        <v>35</v>
      </c>
      <c r="N108" s="29" t="e">
        <f t="shared" si="30"/>
        <v>#N/A</v>
      </c>
      <c r="O108" s="29" t="e">
        <f t="shared" si="31"/>
        <v>#N/A</v>
      </c>
      <c r="P108" s="29" t="e">
        <f t="shared" si="32"/>
        <v>#N/A</v>
      </c>
      <c r="S108" s="30" t="e">
        <f t="shared" si="33"/>
        <v>#N/A</v>
      </c>
      <c r="T108" s="43" t="e">
        <f t="shared" si="34"/>
        <v>#N/A</v>
      </c>
      <c r="AD108" s="28">
        <v>15</v>
      </c>
      <c r="AE108" s="28">
        <v>2.5659999999999998</v>
      </c>
    </row>
    <row r="109" spans="1:31">
      <c r="A109" s="28">
        <f t="shared" si="26"/>
        <v>0</v>
      </c>
      <c r="I109" s="29" t="b">
        <f t="shared" si="27"/>
        <v>0</v>
      </c>
      <c r="J109" s="29" t="e">
        <f t="shared" si="28"/>
        <v>#N/A</v>
      </c>
      <c r="K109" s="29" t="e">
        <f t="shared" si="29"/>
        <v>#N/A</v>
      </c>
      <c r="M109" s="29">
        <v>36</v>
      </c>
      <c r="N109" s="29" t="e">
        <f t="shared" si="30"/>
        <v>#N/A</v>
      </c>
      <c r="O109" s="29" t="e">
        <f t="shared" si="31"/>
        <v>#N/A</v>
      </c>
      <c r="P109" s="29" t="e">
        <f t="shared" si="32"/>
        <v>#N/A</v>
      </c>
      <c r="S109" s="30" t="e">
        <f t="shared" si="33"/>
        <v>#N/A</v>
      </c>
      <c r="T109" s="43" t="e">
        <f t="shared" si="34"/>
        <v>#N/A</v>
      </c>
      <c r="AD109" s="28">
        <v>16</v>
      </c>
      <c r="AE109" s="28">
        <v>2.5230000000000001</v>
      </c>
    </row>
    <row r="110" spans="1:31">
      <c r="A110" s="28">
        <f t="shared" si="26"/>
        <v>0</v>
      </c>
      <c r="I110" s="29" t="b">
        <f t="shared" si="27"/>
        <v>0</v>
      </c>
      <c r="J110" s="29" t="e">
        <f t="shared" si="28"/>
        <v>#N/A</v>
      </c>
      <c r="K110" s="29" t="e">
        <f t="shared" si="29"/>
        <v>#N/A</v>
      </c>
      <c r="M110" s="29">
        <v>37</v>
      </c>
      <c r="N110" s="29" t="e">
        <f t="shared" si="30"/>
        <v>#N/A</v>
      </c>
      <c r="O110" s="29" t="e">
        <f t="shared" si="31"/>
        <v>#N/A</v>
      </c>
      <c r="P110" s="29" t="e">
        <f t="shared" si="32"/>
        <v>#N/A</v>
      </c>
      <c r="S110" s="30" t="e">
        <f t="shared" si="33"/>
        <v>#N/A</v>
      </c>
      <c r="T110" s="43" t="e">
        <f t="shared" si="34"/>
        <v>#N/A</v>
      </c>
      <c r="AD110" s="28">
        <v>17</v>
      </c>
      <c r="AE110" s="28">
        <v>2.4860000000000002</v>
      </c>
    </row>
    <row r="111" spans="1:31">
      <c r="A111" s="28">
        <f t="shared" si="26"/>
        <v>0</v>
      </c>
      <c r="I111" s="29" t="b">
        <f t="shared" si="27"/>
        <v>0</v>
      </c>
      <c r="J111" s="29" t="e">
        <f t="shared" si="28"/>
        <v>#N/A</v>
      </c>
      <c r="K111" s="29" t="e">
        <f t="shared" si="29"/>
        <v>#N/A</v>
      </c>
      <c r="M111" s="29">
        <v>38</v>
      </c>
      <c r="N111" s="29" t="e">
        <f t="shared" si="30"/>
        <v>#N/A</v>
      </c>
      <c r="O111" s="29" t="e">
        <f t="shared" si="31"/>
        <v>#N/A</v>
      </c>
      <c r="P111" s="29" t="e">
        <f t="shared" si="32"/>
        <v>#N/A</v>
      </c>
      <c r="S111" s="30" t="e">
        <f t="shared" si="33"/>
        <v>#N/A</v>
      </c>
      <c r="T111" s="43" t="e">
        <f t="shared" si="34"/>
        <v>#N/A</v>
      </c>
      <c r="AD111" s="28">
        <v>18</v>
      </c>
      <c r="AE111" s="28">
        <v>2.4529999999999998</v>
      </c>
    </row>
    <row r="112" spans="1:31">
      <c r="A112" s="28">
        <f t="shared" si="26"/>
        <v>0</v>
      </c>
      <c r="I112" s="29" t="b">
        <f t="shared" si="27"/>
        <v>0</v>
      </c>
      <c r="J112" s="29" t="e">
        <f t="shared" si="28"/>
        <v>#N/A</v>
      </c>
      <c r="K112" s="29" t="e">
        <f t="shared" si="29"/>
        <v>#N/A</v>
      </c>
      <c r="M112" s="29">
        <v>39</v>
      </c>
      <c r="N112" s="29" t="e">
        <f t="shared" si="30"/>
        <v>#N/A</v>
      </c>
      <c r="O112" s="29" t="e">
        <f t="shared" si="31"/>
        <v>#N/A</v>
      </c>
      <c r="P112" s="29" t="e">
        <f t="shared" si="32"/>
        <v>#N/A</v>
      </c>
      <c r="S112" s="30" t="e">
        <f t="shared" si="33"/>
        <v>#N/A</v>
      </c>
      <c r="T112" s="43" t="e">
        <f t="shared" si="34"/>
        <v>#N/A</v>
      </c>
      <c r="AD112" s="28">
        <v>19</v>
      </c>
      <c r="AE112" s="28">
        <v>2.423</v>
      </c>
    </row>
    <row r="113" spans="1:32">
      <c r="A113" s="28">
        <f t="shared" si="26"/>
        <v>0</v>
      </c>
      <c r="I113" s="29" t="b">
        <f t="shared" si="27"/>
        <v>0</v>
      </c>
      <c r="J113" s="29" t="e">
        <f t="shared" si="28"/>
        <v>#N/A</v>
      </c>
      <c r="K113" s="29" t="e">
        <f t="shared" si="29"/>
        <v>#N/A</v>
      </c>
      <c r="M113" s="29">
        <v>40</v>
      </c>
      <c r="N113" s="29" t="e">
        <f t="shared" si="30"/>
        <v>#N/A</v>
      </c>
      <c r="O113" s="29" t="e">
        <f t="shared" si="31"/>
        <v>#N/A</v>
      </c>
      <c r="P113" s="29" t="e">
        <f t="shared" si="32"/>
        <v>#N/A</v>
      </c>
      <c r="S113" s="30" t="e">
        <f t="shared" si="33"/>
        <v>#N/A</v>
      </c>
      <c r="T113" s="43" t="e">
        <f t="shared" si="34"/>
        <v>#N/A</v>
      </c>
      <c r="AD113" s="28">
        <v>20</v>
      </c>
      <c r="AE113" s="28">
        <v>2.3959999999999999</v>
      </c>
    </row>
    <row r="114" spans="1:32">
      <c r="A114" s="28">
        <f t="shared" si="26"/>
        <v>0</v>
      </c>
      <c r="I114" s="29" t="b">
        <f t="shared" si="27"/>
        <v>0</v>
      </c>
      <c r="J114" s="29" t="e">
        <f t="shared" si="28"/>
        <v>#N/A</v>
      </c>
      <c r="K114" s="29" t="e">
        <f t="shared" si="29"/>
        <v>#N/A</v>
      </c>
      <c r="M114" s="29">
        <v>41</v>
      </c>
      <c r="N114" s="29" t="e">
        <f t="shared" si="30"/>
        <v>#N/A</v>
      </c>
      <c r="O114" s="29" t="e">
        <f t="shared" si="31"/>
        <v>#N/A</v>
      </c>
      <c r="P114" s="29" t="e">
        <f t="shared" si="32"/>
        <v>#N/A</v>
      </c>
      <c r="S114" s="30" t="e">
        <f t="shared" si="33"/>
        <v>#N/A</v>
      </c>
      <c r="T114" s="43" t="e">
        <f t="shared" si="34"/>
        <v>#N/A</v>
      </c>
      <c r="AD114" s="28">
        <v>21</v>
      </c>
      <c r="AE114" s="28">
        <v>2.371</v>
      </c>
    </row>
    <row r="115" spans="1:32">
      <c r="A115" s="28">
        <f t="shared" si="26"/>
        <v>0</v>
      </c>
      <c r="I115" s="29" t="b">
        <f t="shared" si="27"/>
        <v>0</v>
      </c>
      <c r="J115" s="29" t="e">
        <f t="shared" si="28"/>
        <v>#N/A</v>
      </c>
      <c r="K115" s="29" t="e">
        <f t="shared" si="29"/>
        <v>#N/A</v>
      </c>
      <c r="M115" s="29">
        <v>42</v>
      </c>
      <c r="N115" s="29" t="e">
        <f t="shared" si="30"/>
        <v>#N/A</v>
      </c>
      <c r="O115" s="29" t="e">
        <f t="shared" si="31"/>
        <v>#N/A</v>
      </c>
      <c r="P115" s="29" t="e">
        <f t="shared" si="32"/>
        <v>#N/A</v>
      </c>
      <c r="S115" s="30" t="e">
        <f t="shared" si="33"/>
        <v>#N/A</v>
      </c>
      <c r="T115" s="43" t="e">
        <f t="shared" si="34"/>
        <v>#N/A</v>
      </c>
      <c r="AD115" s="28">
        <v>22</v>
      </c>
      <c r="AE115" s="28">
        <v>2.35</v>
      </c>
    </row>
    <row r="116" spans="1:32">
      <c r="A116" s="28">
        <f t="shared" si="26"/>
        <v>0</v>
      </c>
      <c r="I116" s="29" t="b">
        <f t="shared" si="27"/>
        <v>0</v>
      </c>
      <c r="J116" s="29" t="e">
        <f t="shared" si="28"/>
        <v>#N/A</v>
      </c>
      <c r="K116" s="29" t="e">
        <f t="shared" si="29"/>
        <v>#N/A</v>
      </c>
      <c r="M116" s="29">
        <v>43</v>
      </c>
      <c r="N116" s="29" t="e">
        <f t="shared" si="30"/>
        <v>#N/A</v>
      </c>
      <c r="O116" s="29" t="e">
        <f t="shared" si="31"/>
        <v>#N/A</v>
      </c>
      <c r="P116" s="29" t="e">
        <f t="shared" si="32"/>
        <v>#N/A</v>
      </c>
      <c r="S116" s="30" t="e">
        <f t="shared" si="33"/>
        <v>#N/A</v>
      </c>
      <c r="T116" s="43" t="e">
        <f t="shared" si="34"/>
        <v>#N/A</v>
      </c>
      <c r="AD116" s="28">
        <v>23</v>
      </c>
      <c r="AE116" s="28">
        <v>2.3290000000000002</v>
      </c>
    </row>
    <row r="117" spans="1:32">
      <c r="A117" s="28">
        <f t="shared" si="26"/>
        <v>0</v>
      </c>
      <c r="I117" s="29" t="b">
        <f t="shared" si="27"/>
        <v>0</v>
      </c>
      <c r="J117" s="29" t="e">
        <f t="shared" si="28"/>
        <v>#N/A</v>
      </c>
      <c r="K117" s="29" t="e">
        <f t="shared" si="29"/>
        <v>#N/A</v>
      </c>
      <c r="M117" s="29">
        <v>44</v>
      </c>
      <c r="N117" s="29" t="e">
        <f t="shared" si="30"/>
        <v>#N/A</v>
      </c>
      <c r="O117" s="29" t="e">
        <f t="shared" si="31"/>
        <v>#N/A</v>
      </c>
      <c r="P117" s="29" t="e">
        <f t="shared" si="32"/>
        <v>#N/A</v>
      </c>
      <c r="S117" s="30" t="e">
        <f t="shared" si="33"/>
        <v>#N/A</v>
      </c>
      <c r="T117" s="43" t="e">
        <f t="shared" si="34"/>
        <v>#N/A</v>
      </c>
      <c r="AD117" s="28">
        <v>24</v>
      </c>
      <c r="AE117" s="28">
        <v>2.3090000000000002</v>
      </c>
    </row>
    <row r="118" spans="1:32">
      <c r="A118" s="28">
        <f t="shared" si="26"/>
        <v>0</v>
      </c>
      <c r="I118" s="29" t="b">
        <f t="shared" si="27"/>
        <v>0</v>
      </c>
      <c r="J118" s="29" t="e">
        <f t="shared" si="28"/>
        <v>#N/A</v>
      </c>
      <c r="K118" s="29" t="e">
        <f t="shared" si="29"/>
        <v>#N/A</v>
      </c>
      <c r="M118" s="29">
        <v>45</v>
      </c>
      <c r="N118" s="29" t="e">
        <f t="shared" si="30"/>
        <v>#N/A</v>
      </c>
      <c r="O118" s="29" t="e">
        <f t="shared" si="31"/>
        <v>#N/A</v>
      </c>
      <c r="P118" s="29" t="e">
        <f t="shared" si="32"/>
        <v>#N/A</v>
      </c>
      <c r="S118" s="30" t="e">
        <f t="shared" si="33"/>
        <v>#N/A</v>
      </c>
      <c r="T118" s="43" t="e">
        <f t="shared" si="34"/>
        <v>#N/A</v>
      </c>
      <c r="AD118" s="28">
        <v>25</v>
      </c>
      <c r="AE118" s="28">
        <v>2.2919999999999998</v>
      </c>
    </row>
    <row r="119" spans="1:32">
      <c r="A119" s="28">
        <f t="shared" si="26"/>
        <v>0</v>
      </c>
      <c r="I119" s="29" t="b">
        <f t="shared" si="27"/>
        <v>0</v>
      </c>
      <c r="J119" s="29" t="e">
        <f t="shared" si="28"/>
        <v>#N/A</v>
      </c>
      <c r="K119" s="29" t="e">
        <f t="shared" si="29"/>
        <v>#N/A</v>
      </c>
      <c r="M119" s="29">
        <v>46</v>
      </c>
      <c r="N119" s="29" t="e">
        <f t="shared" si="30"/>
        <v>#N/A</v>
      </c>
      <c r="O119" s="29" t="e">
        <f t="shared" si="31"/>
        <v>#N/A</v>
      </c>
      <c r="P119" s="29" t="e">
        <f t="shared" si="32"/>
        <v>#N/A</v>
      </c>
      <c r="S119" s="30" t="e">
        <f t="shared" si="33"/>
        <v>#N/A</v>
      </c>
      <c r="T119" s="43" t="e">
        <f t="shared" si="34"/>
        <v>#N/A</v>
      </c>
      <c r="AD119" s="28">
        <v>26</v>
      </c>
      <c r="AE119" s="28">
        <v>2.2776000000000001</v>
      </c>
    </row>
    <row r="120" spans="1:32">
      <c r="A120" s="28">
        <f t="shared" si="26"/>
        <v>0</v>
      </c>
      <c r="I120" s="29" t="b">
        <f t="shared" si="27"/>
        <v>0</v>
      </c>
      <c r="J120" s="29" t="e">
        <f t="shared" si="28"/>
        <v>#N/A</v>
      </c>
      <c r="K120" s="29" t="e">
        <f t="shared" si="29"/>
        <v>#N/A</v>
      </c>
      <c r="M120" s="29">
        <v>47</v>
      </c>
      <c r="N120" s="29" t="e">
        <f t="shared" si="30"/>
        <v>#N/A</v>
      </c>
      <c r="O120" s="29" t="e">
        <f t="shared" si="31"/>
        <v>#N/A</v>
      </c>
      <c r="P120" s="29" t="e">
        <f t="shared" si="32"/>
        <v>#N/A</v>
      </c>
      <c r="S120" s="30" t="e">
        <f t="shared" si="33"/>
        <v>#N/A</v>
      </c>
      <c r="T120" s="43" t="e">
        <f t="shared" si="34"/>
        <v>#N/A</v>
      </c>
      <c r="AD120" s="28">
        <v>27</v>
      </c>
      <c r="AE120" s="28">
        <v>2.2631999999999999</v>
      </c>
    </row>
    <row r="121" spans="1:32">
      <c r="A121" s="28">
        <f t="shared" si="26"/>
        <v>0</v>
      </c>
      <c r="I121" s="29" t="b">
        <f t="shared" si="27"/>
        <v>0</v>
      </c>
      <c r="J121" s="29" t="e">
        <f t="shared" si="28"/>
        <v>#N/A</v>
      </c>
      <c r="K121" s="29" t="e">
        <f t="shared" si="29"/>
        <v>#N/A</v>
      </c>
      <c r="M121" s="29">
        <v>48</v>
      </c>
      <c r="N121" s="29" t="e">
        <f t="shared" si="30"/>
        <v>#N/A</v>
      </c>
      <c r="O121" s="29" t="e">
        <f t="shared" si="31"/>
        <v>#N/A</v>
      </c>
      <c r="P121" s="29" t="e">
        <f t="shared" si="32"/>
        <v>#N/A</v>
      </c>
      <c r="S121" s="30" t="e">
        <f t="shared" si="33"/>
        <v>#N/A</v>
      </c>
      <c r="T121" s="43" t="e">
        <f t="shared" si="34"/>
        <v>#N/A</v>
      </c>
      <c r="AD121" s="28">
        <v>28</v>
      </c>
      <c r="AE121" s="28">
        <v>2.2488000000000001</v>
      </c>
    </row>
    <row r="122" spans="1:32">
      <c r="A122" s="28">
        <f t="shared" si="26"/>
        <v>0</v>
      </c>
      <c r="I122" s="29" t="b">
        <f t="shared" si="27"/>
        <v>0</v>
      </c>
      <c r="J122" s="29" t="e">
        <f t="shared" si="28"/>
        <v>#N/A</v>
      </c>
      <c r="K122" s="29" t="e">
        <f t="shared" si="29"/>
        <v>#N/A</v>
      </c>
      <c r="M122" s="29">
        <v>49</v>
      </c>
      <c r="N122" s="29" t="e">
        <f t="shared" si="30"/>
        <v>#N/A</v>
      </c>
      <c r="O122" s="29" t="e">
        <f t="shared" si="31"/>
        <v>#N/A</v>
      </c>
      <c r="P122" s="29" t="e">
        <f t="shared" si="32"/>
        <v>#N/A</v>
      </c>
      <c r="S122" s="30" t="e">
        <f t="shared" si="33"/>
        <v>#N/A</v>
      </c>
      <c r="T122" s="43" t="e">
        <f t="shared" si="34"/>
        <v>#N/A</v>
      </c>
      <c r="AD122" s="28">
        <v>29</v>
      </c>
      <c r="AE122" s="28">
        <v>2.2343999999999999</v>
      </c>
    </row>
    <row r="123" spans="1:32">
      <c r="A123" s="28">
        <f t="shared" si="26"/>
        <v>0</v>
      </c>
      <c r="I123" s="29" t="b">
        <f t="shared" si="27"/>
        <v>0</v>
      </c>
      <c r="J123" s="29" t="e">
        <f t="shared" si="28"/>
        <v>#N/A</v>
      </c>
      <c r="K123" s="29" t="e">
        <f t="shared" si="29"/>
        <v>#N/A</v>
      </c>
      <c r="M123" s="29">
        <v>50</v>
      </c>
      <c r="N123" s="29" t="e">
        <f t="shared" si="30"/>
        <v>#N/A</v>
      </c>
      <c r="O123" s="29" t="e">
        <f t="shared" si="31"/>
        <v>#N/A</v>
      </c>
      <c r="P123" s="29" t="e">
        <f t="shared" si="32"/>
        <v>#N/A</v>
      </c>
      <c r="S123" s="30" t="e">
        <f t="shared" si="33"/>
        <v>#N/A</v>
      </c>
      <c r="T123" s="43" t="e">
        <f t="shared" si="34"/>
        <v>#N/A</v>
      </c>
      <c r="AD123" s="28">
        <v>30</v>
      </c>
      <c r="AE123" s="28">
        <v>2.2200000000000002</v>
      </c>
    </row>
    <row r="124" spans="1:32">
      <c r="A124" s="28">
        <f t="shared" si="26"/>
        <v>0</v>
      </c>
      <c r="K124" s="29" t="e">
        <f t="shared" si="29"/>
        <v>#N/A</v>
      </c>
      <c r="S124" s="30" t="e">
        <f t="shared" si="33"/>
        <v>#N/A</v>
      </c>
      <c r="T124" s="43" t="e">
        <f t="shared" si="34"/>
        <v>#N/A</v>
      </c>
      <c r="AD124" s="28">
        <v>31</v>
      </c>
      <c r="AE124" s="28">
        <v>2.2092000000000001</v>
      </c>
    </row>
    <row r="125" spans="1:32">
      <c r="AD125" s="28">
        <v>32</v>
      </c>
      <c r="AE125" s="28">
        <v>2.1983999999999999</v>
      </c>
      <c r="AF125" s="28" t="s">
        <v>156</v>
      </c>
    </row>
    <row r="126" spans="1:32">
      <c r="AD126" s="28">
        <v>33</v>
      </c>
      <c r="AE126" s="28">
        <v>2.1876000000000002</v>
      </c>
      <c r="AF126" s="28" t="s">
        <v>156</v>
      </c>
    </row>
    <row r="127" spans="1:32">
      <c r="AD127" s="28">
        <v>34</v>
      </c>
      <c r="AE127" s="28">
        <v>2.1768000000000001</v>
      </c>
      <c r="AF127" s="28" t="s">
        <v>156</v>
      </c>
    </row>
    <row r="128" spans="1:32">
      <c r="AD128" s="28">
        <v>35</v>
      </c>
      <c r="AE128" s="28">
        <v>2.1659999999999999</v>
      </c>
      <c r="AF128" s="28" t="s">
        <v>156</v>
      </c>
    </row>
    <row r="129" spans="30:32">
      <c r="AD129" s="28">
        <v>36</v>
      </c>
      <c r="AE129" s="28">
        <f>(($AE$128-$AE$133)/5)+AE130</f>
        <v>2.1577999999999999</v>
      </c>
    </row>
    <row r="130" spans="30:32">
      <c r="AD130" s="28">
        <v>37</v>
      </c>
      <c r="AE130" s="28">
        <f>(($AE$128-$AE$133)/5)+AE131</f>
        <v>2.1496</v>
      </c>
    </row>
    <row r="131" spans="30:32">
      <c r="AD131" s="28">
        <v>38</v>
      </c>
      <c r="AE131" s="28">
        <f>(($AE$128-$AE$133)/5)+AE132</f>
        <v>2.1414</v>
      </c>
    </row>
    <row r="132" spans="30:32">
      <c r="AD132" s="28">
        <v>39</v>
      </c>
      <c r="AE132" s="28">
        <f>(($AE$128-$AE$133)/5)+AE133</f>
        <v>2.1332</v>
      </c>
    </row>
    <row r="133" spans="30:32">
      <c r="AD133" s="28">
        <v>40</v>
      </c>
      <c r="AE133" s="28">
        <v>2.125</v>
      </c>
      <c r="AF133" s="28" t="s">
        <v>156</v>
      </c>
    </row>
    <row r="134" spans="30:32">
      <c r="AD134" s="28">
        <v>41</v>
      </c>
      <c r="AE134" s="28">
        <f>(($AE$133-$AE$138)/5)+AE135</f>
        <v>2.1184000000000007</v>
      </c>
    </row>
    <row r="135" spans="30:32">
      <c r="AD135" s="28">
        <v>42</v>
      </c>
      <c r="AE135" s="28">
        <f>(($AE$133-$AE$138)/5)+AE136</f>
        <v>2.1118000000000006</v>
      </c>
    </row>
    <row r="136" spans="30:32">
      <c r="AD136" s="28">
        <v>43</v>
      </c>
      <c r="AE136" s="28">
        <f>(($AE$133-$AE$138)/5)+AE137</f>
        <v>2.1052000000000004</v>
      </c>
    </row>
    <row r="137" spans="30:32">
      <c r="AD137" s="28">
        <v>44</v>
      </c>
      <c r="AE137" s="28">
        <f>(($AE$133-$AE$138)/5)+AE138</f>
        <v>2.0986000000000002</v>
      </c>
    </row>
    <row r="138" spans="30:32">
      <c r="AD138" s="28">
        <v>45</v>
      </c>
      <c r="AE138" s="28">
        <v>2.0920000000000001</v>
      </c>
      <c r="AF138" s="28" t="s">
        <v>156</v>
      </c>
    </row>
    <row r="139" spans="30:32">
      <c r="AD139" s="28">
        <v>46</v>
      </c>
      <c r="AE139" s="28">
        <f>(($AE$138-$AE$143)/5)+AE140</f>
        <v>2.0865999999999993</v>
      </c>
    </row>
    <row r="140" spans="30:32">
      <c r="AD140" s="28">
        <v>47</v>
      </c>
      <c r="AE140" s="28">
        <f>(($AE$138-$AE$143)/5)+AE141</f>
        <v>2.0811999999999995</v>
      </c>
    </row>
    <row r="141" spans="30:32">
      <c r="AD141" s="28">
        <v>48</v>
      </c>
      <c r="AE141" s="28">
        <f>(($AE$138-$AE$143)/5)+AE142</f>
        <v>2.0757999999999996</v>
      </c>
    </row>
    <row r="142" spans="30:32">
      <c r="AD142" s="28">
        <v>49</v>
      </c>
      <c r="AE142" s="28">
        <f>(($AE$138-$AE$143)/5)+AE143</f>
        <v>2.0703999999999998</v>
      </c>
    </row>
    <row r="143" spans="30:32">
      <c r="AD143" s="28">
        <v>50</v>
      </c>
      <c r="AE143" s="28">
        <v>2.0649999999999999</v>
      </c>
      <c r="AF143" s="28" t="s">
        <v>156</v>
      </c>
    </row>
    <row r="144" spans="30:32">
      <c r="AD144" s="28">
        <v>51</v>
      </c>
    </row>
    <row r="145" spans="1:30">
      <c r="AD145" s="28">
        <v>52</v>
      </c>
    </row>
    <row r="146" spans="1:30">
      <c r="AD146" s="28">
        <v>53</v>
      </c>
    </row>
    <row r="147" spans="1:30">
      <c r="AD147" s="28">
        <v>54</v>
      </c>
    </row>
    <row r="148" spans="1:30">
      <c r="AD148" s="28">
        <v>55</v>
      </c>
    </row>
    <row r="149" spans="1:30">
      <c r="AD149" s="28">
        <v>56</v>
      </c>
    </row>
    <row r="150" spans="1:30">
      <c r="AD150" s="28">
        <v>57</v>
      </c>
    </row>
    <row r="151" spans="1:30">
      <c r="AD151" s="28">
        <v>58</v>
      </c>
    </row>
    <row r="152" spans="1:30">
      <c r="AD152" s="28">
        <v>59</v>
      </c>
    </row>
    <row r="153" spans="1:30">
      <c r="AD153" s="28">
        <v>60</v>
      </c>
    </row>
    <row r="154" spans="1:30">
      <c r="AD154" s="28">
        <v>61</v>
      </c>
    </row>
    <row r="155" spans="1:30">
      <c r="AD155" s="28">
        <v>62</v>
      </c>
    </row>
    <row r="156" spans="1:30">
      <c r="A156" s="28" t="s">
        <v>157</v>
      </c>
      <c r="AD156" s="28">
        <v>63</v>
      </c>
    </row>
    <row r="158" spans="1:30">
      <c r="A158" s="28" t="s">
        <v>158</v>
      </c>
      <c r="B158" s="28" t="e">
        <f>($T$35*($T$36^(2.33)))/100</f>
        <v>#DIV/0!</v>
      </c>
      <c r="S158" s="30" t="s">
        <v>159</v>
      </c>
      <c r="U158" s="28" t="s">
        <v>160</v>
      </c>
      <c r="W158" s="28" t="s">
        <v>161</v>
      </c>
      <c r="Y158" s="28" t="s">
        <v>162</v>
      </c>
      <c r="AA158" s="28" t="s">
        <v>163</v>
      </c>
    </row>
    <row r="160" spans="1:30">
      <c r="A160" s="28" t="s">
        <v>57</v>
      </c>
      <c r="B160" s="28" t="s">
        <v>164</v>
      </c>
      <c r="S160" s="30" t="s">
        <v>57</v>
      </c>
      <c r="T160" s="28" t="s">
        <v>108</v>
      </c>
      <c r="U160" s="28" t="s">
        <v>57</v>
      </c>
      <c r="V160" s="28" t="s">
        <v>108</v>
      </c>
      <c r="W160" s="28" t="s">
        <v>57</v>
      </c>
      <c r="X160" s="28" t="s">
        <v>108</v>
      </c>
      <c r="Y160" s="28" t="s">
        <v>57</v>
      </c>
      <c r="Z160" s="28" t="s">
        <v>108</v>
      </c>
      <c r="AA160" s="28" t="s">
        <v>57</v>
      </c>
      <c r="AB160" s="28" t="s">
        <v>108</v>
      </c>
    </row>
    <row r="161" spans="1:28">
      <c r="A161" s="28" t="e">
        <f>B158</f>
        <v>#DIV/0!</v>
      </c>
      <c r="B161" s="28" t="e">
        <f t="shared" ref="B161:B192" si="35">(EXP(((LN(A161)-$T$20)^2)/(-2*($T$21^2))))/(A161*$T$21*SQRT(2*PI()))</f>
        <v>#DIV/0!</v>
      </c>
      <c r="S161" s="44" t="e">
        <f>T35</f>
        <v>#DIV/0!</v>
      </c>
      <c r="T161" s="28">
        <v>0</v>
      </c>
      <c r="U161" s="38" t="e">
        <f>T39</f>
        <v>#DIV/0!</v>
      </c>
      <c r="V161" s="28">
        <v>0</v>
      </c>
      <c r="W161" s="38" t="e">
        <f>T48</f>
        <v>#DIV/0!</v>
      </c>
      <c r="X161" s="28">
        <v>0</v>
      </c>
      <c r="Y161" s="38" t="e">
        <f>$T$45</f>
        <v>#DIV/0!</v>
      </c>
      <c r="Z161" s="28">
        <v>0</v>
      </c>
      <c r="AA161" s="38" t="e">
        <f>$T$44</f>
        <v>#DIV/0!</v>
      </c>
      <c r="AB161" s="28" t="s">
        <v>165</v>
      </c>
    </row>
    <row r="162" spans="1:28">
      <c r="A162" s="28" t="e">
        <f t="shared" ref="A162:A193" si="36">A161+$B$158</f>
        <v>#DIV/0!</v>
      </c>
      <c r="B162" s="28" t="e">
        <f t="shared" si="35"/>
        <v>#DIV/0!</v>
      </c>
      <c r="S162" s="44" t="e">
        <f>S161</f>
        <v>#DIV/0!</v>
      </c>
      <c r="T162" s="28" t="e">
        <f>MAX($B$161:$B$260)</f>
        <v>#DIV/0!</v>
      </c>
      <c r="U162" s="38" t="e">
        <f>U161</f>
        <v>#DIV/0!</v>
      </c>
      <c r="V162" s="28" t="e">
        <f>MAX($B$161:$B$260)</f>
        <v>#DIV/0!</v>
      </c>
      <c r="W162" s="38" t="e">
        <f>W161</f>
        <v>#DIV/0!</v>
      </c>
      <c r="X162" s="28" t="e">
        <f>MAX($B$161:$B$260)</f>
        <v>#DIV/0!</v>
      </c>
      <c r="Y162" s="38" t="e">
        <f>$T$45</f>
        <v>#DIV/0!</v>
      </c>
      <c r="Z162" s="28" t="e">
        <f>X162</f>
        <v>#DIV/0!</v>
      </c>
      <c r="AA162" s="38" t="e">
        <f>$T$44</f>
        <v>#DIV/0!</v>
      </c>
      <c r="AB162" s="28" t="e">
        <f>Z162</f>
        <v>#DIV/0!</v>
      </c>
    </row>
    <row r="163" spans="1:28">
      <c r="A163" s="28" t="e">
        <f t="shared" si="36"/>
        <v>#DIV/0!</v>
      </c>
      <c r="B163" s="28" t="e">
        <f t="shared" si="35"/>
        <v>#DIV/0!</v>
      </c>
    </row>
    <row r="164" spans="1:28">
      <c r="A164" s="28" t="e">
        <f t="shared" si="36"/>
        <v>#DIV/0!</v>
      </c>
      <c r="B164" s="28" t="e">
        <f t="shared" si="35"/>
        <v>#DIV/0!</v>
      </c>
    </row>
    <row r="165" spans="1:28">
      <c r="A165" s="28" t="e">
        <f t="shared" si="36"/>
        <v>#DIV/0!</v>
      </c>
      <c r="B165" s="28" t="e">
        <f t="shared" si="35"/>
        <v>#DIV/0!</v>
      </c>
    </row>
    <row r="166" spans="1:28">
      <c r="A166" s="28" t="e">
        <f t="shared" si="36"/>
        <v>#DIV/0!</v>
      </c>
      <c r="B166" s="28" t="e">
        <f t="shared" si="35"/>
        <v>#DIV/0!</v>
      </c>
    </row>
    <row r="167" spans="1:28">
      <c r="A167" s="28" t="e">
        <f t="shared" si="36"/>
        <v>#DIV/0!</v>
      </c>
      <c r="B167" s="28" t="e">
        <f t="shared" si="35"/>
        <v>#DIV/0!</v>
      </c>
    </row>
    <row r="168" spans="1:28">
      <c r="A168" s="28" t="e">
        <f t="shared" si="36"/>
        <v>#DIV/0!</v>
      </c>
      <c r="B168" s="28" t="e">
        <f t="shared" si="35"/>
        <v>#DIV/0!</v>
      </c>
    </row>
    <row r="169" spans="1:28">
      <c r="A169" s="28" t="e">
        <f t="shared" si="36"/>
        <v>#DIV/0!</v>
      </c>
      <c r="B169" s="28" t="e">
        <f t="shared" si="35"/>
        <v>#DIV/0!</v>
      </c>
      <c r="H169" s="45" t="s">
        <v>166</v>
      </c>
      <c r="I169" s="45"/>
      <c r="J169" s="45"/>
      <c r="K169" s="28"/>
      <c r="L169" s="28"/>
      <c r="M169" s="28"/>
      <c r="N169" s="28"/>
      <c r="O169" s="28"/>
      <c r="P169" s="28"/>
      <c r="Q169" s="28"/>
      <c r="R169" s="28"/>
      <c r="S169" s="28"/>
    </row>
    <row r="170" spans="1:28">
      <c r="A170" s="28" t="e">
        <f t="shared" si="36"/>
        <v>#DIV/0!</v>
      </c>
      <c r="B170" s="28" t="e">
        <f t="shared" si="35"/>
        <v>#DIV/0!</v>
      </c>
      <c r="H170" s="28"/>
      <c r="I170" s="45" t="s">
        <v>167</v>
      </c>
      <c r="J170" s="46" t="e">
        <f>T21</f>
        <v>#DIV/0!</v>
      </c>
      <c r="K170" s="28"/>
      <c r="L170" s="28"/>
      <c r="M170" s="28" t="s">
        <v>168</v>
      </c>
      <c r="N170" s="28"/>
      <c r="O170" s="28"/>
      <c r="P170" s="28"/>
      <c r="Q170" s="28"/>
      <c r="R170" s="28"/>
      <c r="S170" s="28"/>
    </row>
    <row r="171" spans="1:28">
      <c r="A171" s="28" t="e">
        <f t="shared" si="36"/>
        <v>#DIV/0!</v>
      </c>
      <c r="B171" s="28" t="e">
        <f t="shared" si="35"/>
        <v>#DIV/0!</v>
      </c>
      <c r="H171" s="45"/>
      <c r="I171" s="45" t="s">
        <v>169</v>
      </c>
      <c r="J171" s="46">
        <f>T10</f>
        <v>0</v>
      </c>
      <c r="K171" s="28"/>
      <c r="L171" s="28"/>
      <c r="M171" s="28" t="s">
        <v>170</v>
      </c>
      <c r="N171" s="28" t="e">
        <f>HLOOKUP(J171,J189:N199,2)</f>
        <v>#N/A</v>
      </c>
      <c r="O171" s="28"/>
      <c r="P171" s="28"/>
      <c r="Q171" s="28"/>
      <c r="R171" s="28"/>
      <c r="S171" s="28"/>
    </row>
    <row r="172" spans="1:28">
      <c r="A172" s="28" t="e">
        <f t="shared" si="36"/>
        <v>#DIV/0!</v>
      </c>
      <c r="B172" s="28" t="e">
        <f t="shared" si="35"/>
        <v>#DIV/0!</v>
      </c>
      <c r="H172" s="45"/>
      <c r="I172" s="45" t="s">
        <v>171</v>
      </c>
      <c r="J172" s="45">
        <v>0.05</v>
      </c>
      <c r="K172" s="28"/>
      <c r="L172" s="28"/>
      <c r="M172" s="28" t="s">
        <v>172</v>
      </c>
      <c r="N172" s="28" t="e">
        <f>HLOOKUP(J171,J189:N199,3)</f>
        <v>#N/A</v>
      </c>
      <c r="O172" s="28"/>
      <c r="P172" s="28"/>
      <c r="Q172" s="28"/>
      <c r="R172" s="28"/>
      <c r="S172" s="28"/>
    </row>
    <row r="173" spans="1:28">
      <c r="A173" s="28" t="e">
        <f t="shared" si="36"/>
        <v>#DIV/0!</v>
      </c>
      <c r="B173" s="28" t="e">
        <f t="shared" si="35"/>
        <v>#DIV/0!</v>
      </c>
      <c r="H173" s="45"/>
      <c r="I173" s="45" t="s">
        <v>173</v>
      </c>
      <c r="J173" s="45">
        <v>0.95</v>
      </c>
      <c r="K173" s="28"/>
      <c r="L173" s="28"/>
      <c r="M173" s="28" t="s">
        <v>174</v>
      </c>
      <c r="N173" s="28" t="e">
        <f>HLOOKUP(J171,J189:N199,4)</f>
        <v>#N/A</v>
      </c>
      <c r="O173" s="28"/>
      <c r="P173" s="28"/>
      <c r="Q173" s="28"/>
      <c r="R173" s="28"/>
      <c r="S173" s="28"/>
    </row>
    <row r="174" spans="1:28">
      <c r="A174" s="28" t="e">
        <f t="shared" si="36"/>
        <v>#DIV/0!</v>
      </c>
      <c r="B174" s="28" t="e">
        <f t="shared" si="35"/>
        <v>#DIV/0!</v>
      </c>
      <c r="H174" s="45"/>
      <c r="I174" s="45" t="s">
        <v>175</v>
      </c>
      <c r="J174" s="46" t="e">
        <f>T38</f>
        <v>#DIV/0!</v>
      </c>
      <c r="K174" s="47" t="s">
        <v>176</v>
      </c>
      <c r="L174" s="28"/>
      <c r="M174" s="28" t="s">
        <v>177</v>
      </c>
      <c r="N174" s="28" t="e">
        <f>HLOOKUP(J171,J189:N199,5)</f>
        <v>#N/A</v>
      </c>
      <c r="O174" s="28"/>
      <c r="P174" s="28"/>
      <c r="Q174" s="28"/>
      <c r="R174" s="28"/>
      <c r="S174" s="28"/>
    </row>
    <row r="175" spans="1:28">
      <c r="A175" s="28" t="e">
        <f t="shared" si="36"/>
        <v>#DIV/0!</v>
      </c>
      <c r="B175" s="28" t="e">
        <f t="shared" si="35"/>
        <v>#DIV/0!</v>
      </c>
      <c r="H175" s="45"/>
      <c r="I175" s="45" t="s">
        <v>178</v>
      </c>
      <c r="J175" s="45" t="e">
        <f>J170*(SQRT((J171-1)/J171))</f>
        <v>#DIV/0!</v>
      </c>
      <c r="K175" s="28"/>
      <c r="L175" s="28"/>
      <c r="M175" s="28" t="s">
        <v>179</v>
      </c>
      <c r="N175" s="28" t="e">
        <f>HLOOKUP(J171,J189:N199,6)</f>
        <v>#N/A</v>
      </c>
      <c r="O175" s="28"/>
      <c r="P175" s="28"/>
      <c r="Q175" s="28"/>
      <c r="R175" s="28"/>
      <c r="S175" s="28"/>
    </row>
    <row r="176" spans="1:28">
      <c r="A176" s="28" t="e">
        <f t="shared" si="36"/>
        <v>#DIV/0!</v>
      </c>
      <c r="B176" s="28" t="e">
        <f t="shared" si="35"/>
        <v>#DIV/0!</v>
      </c>
      <c r="H176" s="45"/>
      <c r="I176" s="45" t="s">
        <v>180</v>
      </c>
      <c r="J176" s="45" t="e">
        <f>IF(J171&gt;5,L185,L184)</f>
        <v>#N/A</v>
      </c>
      <c r="K176" s="28"/>
      <c r="L176" s="28"/>
      <c r="M176" s="28" t="s">
        <v>181</v>
      </c>
      <c r="N176" s="28" t="e">
        <f>HLOOKUP(J171,J189:N199,7)</f>
        <v>#N/A</v>
      </c>
      <c r="O176" s="28"/>
      <c r="P176" s="28"/>
      <c r="Q176" s="28"/>
      <c r="R176" s="28"/>
      <c r="S176" s="28"/>
    </row>
    <row r="177" spans="1:20">
      <c r="A177" s="28" t="e">
        <f t="shared" si="36"/>
        <v>#DIV/0!</v>
      </c>
      <c r="B177" s="28" t="e">
        <f t="shared" si="35"/>
        <v>#DIV/0!</v>
      </c>
      <c r="H177" s="45"/>
      <c r="I177" s="45" t="s">
        <v>182</v>
      </c>
      <c r="J177" s="45" t="e">
        <f>IF(J171&gt;7,J185,J184)</f>
        <v>#N/A</v>
      </c>
      <c r="K177" s="28"/>
      <c r="L177" s="28"/>
      <c r="M177" s="28" t="s">
        <v>183</v>
      </c>
      <c r="N177" s="28" t="e">
        <f>HLOOKUP(J171,J189:N199,8)</f>
        <v>#N/A</v>
      </c>
      <c r="O177" s="28"/>
      <c r="P177" s="28"/>
      <c r="Q177" s="28"/>
      <c r="R177" s="28"/>
      <c r="S177" s="28"/>
    </row>
    <row r="178" spans="1:20">
      <c r="A178" s="28" t="e">
        <f t="shared" si="36"/>
        <v>#DIV/0!</v>
      </c>
      <c r="B178" s="28" t="e">
        <f t="shared" si="35"/>
        <v>#DIV/0!</v>
      </c>
      <c r="H178" s="45"/>
      <c r="I178" s="45" t="s">
        <v>184</v>
      </c>
      <c r="J178" s="45" t="e">
        <f>EXP((LN(J174))+(J176*(J175/(SQRT(J171-1)))))</f>
        <v>#DIV/0!</v>
      </c>
      <c r="K178" s="28"/>
      <c r="L178" s="28"/>
      <c r="M178" s="28" t="s">
        <v>185</v>
      </c>
      <c r="N178" s="28" t="e">
        <f>HLOOKUP(J171,J189:N199,9)</f>
        <v>#N/A</v>
      </c>
      <c r="O178" s="28"/>
      <c r="P178" s="28"/>
      <c r="Q178" s="28"/>
      <c r="R178" s="28"/>
      <c r="S178" s="28"/>
    </row>
    <row r="179" spans="1:20">
      <c r="A179" s="28" t="e">
        <f t="shared" si="36"/>
        <v>#DIV/0!</v>
      </c>
      <c r="B179" s="28" t="e">
        <f t="shared" si="35"/>
        <v>#DIV/0!</v>
      </c>
      <c r="H179" s="45"/>
      <c r="I179" s="45" t="s">
        <v>186</v>
      </c>
      <c r="J179" s="45" t="e">
        <f>EXP((LN(J174))+(J177*(J175/(SQRT(J171-1)))))</f>
        <v>#DIV/0!</v>
      </c>
      <c r="K179" s="28"/>
      <c r="L179" s="28"/>
      <c r="M179" s="28" t="s">
        <v>187</v>
      </c>
      <c r="N179" s="28" t="e">
        <f>HLOOKUP(J171,J189:N199,10)</f>
        <v>#N/A</v>
      </c>
      <c r="O179" s="28"/>
      <c r="P179" s="28"/>
      <c r="Q179" s="28"/>
      <c r="R179" s="28"/>
      <c r="S179" s="28"/>
    </row>
    <row r="180" spans="1:20">
      <c r="A180" s="28" t="e">
        <f t="shared" si="36"/>
        <v>#DIV/0!</v>
      </c>
      <c r="B180" s="28" t="e">
        <f t="shared" si="35"/>
        <v>#DIV/0!</v>
      </c>
      <c r="H180" s="28"/>
      <c r="I180" s="48" t="s">
        <v>188</v>
      </c>
      <c r="J180" s="28"/>
      <c r="K180" s="28"/>
      <c r="L180" s="28"/>
      <c r="M180" s="28" t="s">
        <v>189</v>
      </c>
      <c r="N180" s="28" t="e">
        <f>HLOOKUP(J171,J189:N199,11)</f>
        <v>#N/A</v>
      </c>
      <c r="O180" s="28"/>
      <c r="P180" s="28"/>
      <c r="Q180" s="28"/>
      <c r="R180" s="28"/>
      <c r="S180" s="28"/>
    </row>
    <row r="181" spans="1:20">
      <c r="A181" s="28" t="e">
        <f t="shared" si="36"/>
        <v>#DIV/0!</v>
      </c>
      <c r="B181" s="28" t="e">
        <f t="shared" si="35"/>
        <v>#DIV/0!</v>
      </c>
      <c r="H181" s="28"/>
      <c r="I181" s="28"/>
      <c r="J181" s="28"/>
      <c r="K181" s="28"/>
      <c r="L181" s="28"/>
      <c r="M181" s="28"/>
      <c r="N181" s="28"/>
      <c r="O181" s="28"/>
      <c r="P181" s="28"/>
      <c r="Q181" s="28"/>
      <c r="R181" s="28"/>
      <c r="S181" s="28"/>
    </row>
    <row r="182" spans="1:20">
      <c r="A182" s="28" t="e">
        <f t="shared" si="36"/>
        <v>#DIV/0!</v>
      </c>
      <c r="B182" s="28" t="e">
        <f t="shared" si="35"/>
        <v>#DIV/0!</v>
      </c>
      <c r="H182" s="28"/>
      <c r="I182" s="28"/>
      <c r="J182" s="28"/>
      <c r="K182" s="28"/>
      <c r="L182" s="28"/>
      <c r="M182" s="28" t="s">
        <v>190</v>
      </c>
      <c r="N182" s="28"/>
      <c r="O182" s="28"/>
      <c r="P182" s="28"/>
      <c r="Q182" s="28"/>
      <c r="R182" s="28"/>
      <c r="S182" s="28"/>
    </row>
    <row r="183" spans="1:20">
      <c r="A183" s="28" t="e">
        <f t="shared" si="36"/>
        <v>#DIV/0!</v>
      </c>
      <c r="B183" s="28" t="e">
        <f t="shared" si="35"/>
        <v>#DIV/0!</v>
      </c>
      <c r="H183" s="28"/>
      <c r="I183" s="28" t="s">
        <v>127</v>
      </c>
      <c r="J183" s="28" t="s">
        <v>191</v>
      </c>
      <c r="K183" s="28" t="s">
        <v>127</v>
      </c>
      <c r="L183" s="28" t="s">
        <v>192</v>
      </c>
      <c r="M183" s="28" t="s">
        <v>170</v>
      </c>
      <c r="N183" s="28" t="e">
        <f>HLOOKUP(J171,Q189:S199,2)</f>
        <v>#N/A</v>
      </c>
      <c r="O183" s="28"/>
      <c r="P183" s="28"/>
      <c r="Q183" s="28"/>
      <c r="R183" s="28"/>
      <c r="S183" s="28"/>
    </row>
    <row r="184" spans="1:20">
      <c r="A184" s="28" t="e">
        <f t="shared" si="36"/>
        <v>#DIV/0!</v>
      </c>
      <c r="B184" s="28" t="e">
        <f t="shared" si="35"/>
        <v>#DIV/0!</v>
      </c>
      <c r="H184" s="28"/>
      <c r="I184" s="28" t="s">
        <v>193</v>
      </c>
      <c r="J184" s="28" t="e">
        <f>(N171+(N173*J175)+(N175*(J175^2))+(N177*(J175^3))+(N179*(J175^4)))/(1+(N172*J175)+(N174*(J175^2))+(N176*(J175^3))+(N178*(J175^4))+(N180*(J175^5)))</f>
        <v>#N/A</v>
      </c>
      <c r="K184" s="28" t="s">
        <v>194</v>
      </c>
      <c r="L184" s="28" t="e">
        <f>(N183+(N185*J175)+(N187*(J175^2)))/(1+(N184*J175)+(N186*(J175^2)))</f>
        <v>#N/A</v>
      </c>
      <c r="M184" s="28" t="s">
        <v>172</v>
      </c>
      <c r="N184" s="28" t="e">
        <f>HLOOKUP(J171,Q189:S199,3)</f>
        <v>#N/A</v>
      </c>
      <c r="O184" s="28"/>
      <c r="P184" s="28"/>
      <c r="Q184" s="28"/>
      <c r="R184" s="28"/>
      <c r="S184" s="28"/>
    </row>
    <row r="185" spans="1:20">
      <c r="A185" s="28" t="e">
        <f t="shared" si="36"/>
        <v>#DIV/0!</v>
      </c>
      <c r="B185" s="28" t="e">
        <f t="shared" si="35"/>
        <v>#DIV/0!</v>
      </c>
      <c r="H185" s="28"/>
      <c r="I185" s="28" t="s">
        <v>195</v>
      </c>
      <c r="J185" s="28" t="e">
        <f>O190+(O191*J175)+(O192/J171)+(O193*(J175^2))+(O194/(J171^2))+(O195*J175/J171)+(O196*(J175^3))+(O197/(J171^3))+(O198*J175/(J171^2))+(O199*(J175^2)/J171)</f>
        <v>#DIV/0!</v>
      </c>
      <c r="K185" s="28" t="s">
        <v>196</v>
      </c>
      <c r="L185" s="28" t="e">
        <f>T190+(T191*J175)+(T192/J171)+(T193*(J175^2))+(T194/(J171^2))+(T195*J175/J171)+(T196*(J175^3))+(T197/(J171^3))+(T198*J175/(J171^2))+(T199*(J175^2)/J171)</f>
        <v>#DIV/0!</v>
      </c>
      <c r="M185" s="28" t="s">
        <v>174</v>
      </c>
      <c r="N185" s="28" t="e">
        <f>HLOOKUP(J171,Q189:S199,4)</f>
        <v>#N/A</v>
      </c>
      <c r="O185" s="28"/>
      <c r="P185" s="28"/>
      <c r="Q185" s="28"/>
      <c r="R185" s="28"/>
      <c r="S185" s="28"/>
    </row>
    <row r="186" spans="1:20">
      <c r="A186" s="28" t="e">
        <f t="shared" si="36"/>
        <v>#DIV/0!</v>
      </c>
      <c r="B186" s="28" t="e">
        <f t="shared" si="35"/>
        <v>#DIV/0!</v>
      </c>
      <c r="H186" s="28"/>
      <c r="I186" s="28"/>
      <c r="J186" s="28"/>
      <c r="K186" s="28"/>
      <c r="L186" s="28"/>
      <c r="M186" s="28" t="s">
        <v>177</v>
      </c>
      <c r="N186" s="28" t="e">
        <f>HLOOKUP(J171,Q189:S199,5)</f>
        <v>#N/A</v>
      </c>
      <c r="O186" s="28"/>
      <c r="P186" s="28"/>
      <c r="Q186" s="28"/>
      <c r="R186" s="28"/>
      <c r="S186" s="28"/>
    </row>
    <row r="187" spans="1:20">
      <c r="A187" s="28" t="e">
        <f t="shared" si="36"/>
        <v>#DIV/0!</v>
      </c>
      <c r="B187" s="28" t="e">
        <f t="shared" si="35"/>
        <v>#DIV/0!</v>
      </c>
      <c r="H187" s="28"/>
      <c r="I187" s="28"/>
      <c r="J187" s="28"/>
      <c r="K187" s="28"/>
      <c r="L187" s="28"/>
      <c r="M187" s="28" t="s">
        <v>179</v>
      </c>
      <c r="N187" s="28" t="e">
        <f>HLOOKUP(J171,Q189:S199,6)</f>
        <v>#N/A</v>
      </c>
      <c r="O187" s="28"/>
      <c r="P187" s="28"/>
      <c r="Q187" s="28"/>
      <c r="R187" s="28"/>
      <c r="S187" s="28"/>
    </row>
    <row r="188" spans="1:20">
      <c r="A188" s="28" t="e">
        <f t="shared" si="36"/>
        <v>#DIV/0!</v>
      </c>
      <c r="B188" s="28" t="e">
        <f t="shared" si="35"/>
        <v>#DIV/0!</v>
      </c>
      <c r="H188" s="28"/>
      <c r="I188" s="28" t="s">
        <v>197</v>
      </c>
      <c r="J188" s="28"/>
      <c r="K188" s="28"/>
      <c r="L188" s="28"/>
      <c r="M188" s="28"/>
      <c r="N188" s="28"/>
      <c r="O188" s="28"/>
      <c r="P188" s="28"/>
      <c r="Q188" s="28" t="s">
        <v>198</v>
      </c>
      <c r="R188" s="28"/>
      <c r="S188" s="28"/>
    </row>
    <row r="189" spans="1:20">
      <c r="A189" s="28" t="e">
        <f t="shared" si="36"/>
        <v>#DIV/0!</v>
      </c>
      <c r="B189" s="28" t="e">
        <f t="shared" si="35"/>
        <v>#DIV/0!</v>
      </c>
      <c r="H189" s="28"/>
      <c r="I189" s="28" t="s">
        <v>169</v>
      </c>
      <c r="J189" s="28">
        <v>3</v>
      </c>
      <c r="K189" s="28">
        <v>4</v>
      </c>
      <c r="L189" s="28">
        <v>5</v>
      </c>
      <c r="M189" s="28">
        <v>6</v>
      </c>
      <c r="N189" s="28">
        <v>7</v>
      </c>
      <c r="O189" s="28" t="s">
        <v>199</v>
      </c>
      <c r="P189" s="28"/>
      <c r="Q189" s="28">
        <v>3</v>
      </c>
      <c r="R189" s="28">
        <v>4</v>
      </c>
      <c r="S189" s="28">
        <v>5</v>
      </c>
      <c r="T189" s="28" t="s">
        <v>196</v>
      </c>
    </row>
    <row r="190" spans="1:20">
      <c r="A190" s="28" t="e">
        <f t="shared" si="36"/>
        <v>#DIV/0!</v>
      </c>
      <c r="B190" s="28" t="e">
        <f t="shared" si="35"/>
        <v>#DIV/0!</v>
      </c>
      <c r="H190" s="28"/>
      <c r="I190" s="28" t="s">
        <v>170</v>
      </c>
      <c r="J190" s="28">
        <v>2.3828098999999998</v>
      </c>
      <c r="K190" s="28">
        <v>2.0366181000000001</v>
      </c>
      <c r="L190" s="28">
        <v>1.9107517000000001</v>
      </c>
      <c r="M190" s="28">
        <v>1.8365940999999999</v>
      </c>
      <c r="N190" s="28">
        <v>1.7994842</v>
      </c>
      <c r="O190" s="28">
        <v>1.642361</v>
      </c>
      <c r="P190" s="28"/>
      <c r="Q190" s="28">
        <v>-2.3865192999999998</v>
      </c>
      <c r="R190" s="28">
        <v>-2.0397148999999999</v>
      </c>
      <c r="S190" s="28">
        <v>-1.9080983</v>
      </c>
      <c r="T190" s="28">
        <v>-1.6652842999999999</v>
      </c>
    </row>
    <row r="191" spans="1:20">
      <c r="A191" s="28" t="e">
        <f t="shared" si="36"/>
        <v>#DIV/0!</v>
      </c>
      <c r="B191" s="28" t="e">
        <f t="shared" si="35"/>
        <v>#DIV/0!</v>
      </c>
      <c r="H191" s="28"/>
      <c r="I191" s="28" t="s">
        <v>172</v>
      </c>
      <c r="J191" s="28">
        <v>-1.9078016</v>
      </c>
      <c r="K191" s="28">
        <v>-1.6251827999999999</v>
      </c>
      <c r="L191" s="28">
        <v>-0.75392424000000002</v>
      </c>
      <c r="M191" s="28">
        <v>0.12293613</v>
      </c>
      <c r="N191" s="28">
        <v>-0.66799472000000004</v>
      </c>
      <c r="O191" s="28">
        <v>-8.9895706000000006E-2</v>
      </c>
      <c r="P191" s="28"/>
      <c r="Q191" s="28">
        <v>1.7079129</v>
      </c>
      <c r="R191" s="28">
        <v>1.1478581000000001</v>
      </c>
      <c r="S191" s="28">
        <v>0.92104951999999995</v>
      </c>
      <c r="T191" s="28">
        <v>0.10902402</v>
      </c>
    </row>
    <row r="192" spans="1:20">
      <c r="A192" s="28" t="e">
        <f t="shared" si="36"/>
        <v>#DIV/0!</v>
      </c>
      <c r="B192" s="28" t="e">
        <f t="shared" si="35"/>
        <v>#DIV/0!</v>
      </c>
      <c r="H192" s="28"/>
      <c r="I192" s="28" t="s">
        <v>174</v>
      </c>
      <c r="J192" s="28">
        <v>-1.2992596999999999</v>
      </c>
      <c r="K192" s="28">
        <v>-1.6229194</v>
      </c>
      <c r="L192" s="28">
        <v>-0.42339524000000001</v>
      </c>
      <c r="M192" s="28">
        <v>1.3030195</v>
      </c>
      <c r="N192" s="28">
        <v>-0.44540781000000002</v>
      </c>
      <c r="O192" s="28">
        <v>2.8580990000000002</v>
      </c>
      <c r="P192" s="28"/>
      <c r="Q192" s="28">
        <v>-0.97733457999999995</v>
      </c>
      <c r="R192" s="28">
        <v>-0.69548849000000001</v>
      </c>
      <c r="S192" s="28">
        <v>-0.58741405000000002</v>
      </c>
      <c r="T192" s="28">
        <v>0.41441365000000002</v>
      </c>
    </row>
    <row r="193" spans="1:23">
      <c r="A193" s="28" t="e">
        <f t="shared" si="36"/>
        <v>#DIV/0!</v>
      </c>
      <c r="B193" s="28" t="e">
        <f t="shared" ref="B193:B224" si="37">(EXP(((LN(A193)-$T$20)^2)/(-2*($T$21^2))))/(A193*$T$21*SQRT(2*PI()))</f>
        <v>#DIV/0!</v>
      </c>
      <c r="H193" s="28"/>
      <c r="I193" s="28" t="s">
        <v>177</v>
      </c>
      <c r="J193" s="28">
        <v>5.2917836999999999</v>
      </c>
      <c r="K193" s="28">
        <v>2.6423741999999999</v>
      </c>
      <c r="L193" s="28">
        <v>0.89103098000000003</v>
      </c>
      <c r="M193" s="28">
        <v>1.5345557999999999</v>
      </c>
      <c r="N193" s="28">
        <v>0.85685750999999999</v>
      </c>
      <c r="O193" s="28">
        <v>0.69351183000000005</v>
      </c>
      <c r="P193" s="28"/>
      <c r="Q193" s="28">
        <v>-3.6191266E-2</v>
      </c>
      <c r="R193" s="28">
        <v>-1.8545415999999999E-2</v>
      </c>
      <c r="S193" s="28">
        <v>-9.7144959999999995E-3</v>
      </c>
      <c r="T193" s="28">
        <v>-0.41101237000000002</v>
      </c>
    </row>
    <row r="194" spans="1:23">
      <c r="A194" s="28" t="e">
        <f t="shared" ref="A194:A225" si="38">A193+$B$158</f>
        <v>#DIV/0!</v>
      </c>
      <c r="B194" s="28" t="e">
        <f t="shared" si="37"/>
        <v>#DIV/0!</v>
      </c>
      <c r="H194" s="28"/>
      <c r="I194" s="28" t="s">
        <v>179</v>
      </c>
      <c r="J194" s="28">
        <v>7.9866450000000002</v>
      </c>
      <c r="K194" s="28">
        <v>4.0754459000000001</v>
      </c>
      <c r="L194" s="28">
        <v>2.7606354</v>
      </c>
      <c r="M194" s="28">
        <v>2.6593491999999999</v>
      </c>
      <c r="N194" s="28">
        <v>2.0272399999999999</v>
      </c>
      <c r="O194" s="28">
        <v>-40.990924</v>
      </c>
      <c r="P194" s="28"/>
      <c r="Q194" s="28">
        <v>-0.62035479000000004</v>
      </c>
      <c r="R194" s="28">
        <v>-0.52301624000000002</v>
      </c>
      <c r="S194" s="28">
        <v>-0.49022279000000002</v>
      </c>
      <c r="T194" s="28">
        <v>-16.464545999999999</v>
      </c>
    </row>
    <row r="195" spans="1:23">
      <c r="A195" s="28" t="e">
        <f t="shared" si="38"/>
        <v>#DIV/0!</v>
      </c>
      <c r="B195" s="28" t="e">
        <f t="shared" si="37"/>
        <v>#DIV/0!</v>
      </c>
      <c r="H195" s="28"/>
      <c r="I195" s="28" t="s">
        <v>181</v>
      </c>
      <c r="J195" s="28">
        <v>-0.68237044999999996</v>
      </c>
      <c r="K195" s="28">
        <v>-1.0014932999999999</v>
      </c>
      <c r="L195" s="28">
        <v>-0.18397781999999999</v>
      </c>
      <c r="M195" s="28">
        <v>-0.48014163999999998</v>
      </c>
      <c r="N195" s="28">
        <v>0.11982843999999999</v>
      </c>
      <c r="O195" s="28">
        <v>5.2690665000000001</v>
      </c>
      <c r="P195" s="28"/>
      <c r="Q195" s="28"/>
      <c r="R195" s="28"/>
      <c r="S195" s="28"/>
      <c r="T195" s="28">
        <v>4.2113052</v>
      </c>
    </row>
    <row r="196" spans="1:23">
      <c r="A196" s="28" t="e">
        <f t="shared" si="38"/>
        <v>#DIV/0!</v>
      </c>
      <c r="B196" s="28" t="e">
        <f t="shared" si="37"/>
        <v>#DIV/0!</v>
      </c>
      <c r="H196" s="28"/>
      <c r="I196" s="28" t="s">
        <v>183</v>
      </c>
      <c r="J196" s="28">
        <v>31.329889999999999</v>
      </c>
      <c r="K196" s="28">
        <v>3.4090807000000001</v>
      </c>
      <c r="L196" s="28">
        <v>0.13008099000000001</v>
      </c>
      <c r="M196" s="28">
        <v>4.8166928999999996</v>
      </c>
      <c r="N196" s="28">
        <v>0.48077010999999997</v>
      </c>
      <c r="O196" s="28">
        <v>-0.13243948999999999</v>
      </c>
      <c r="P196" s="28"/>
      <c r="Q196" s="28"/>
      <c r="R196" s="28"/>
      <c r="S196" s="28"/>
      <c r="T196" s="28">
        <v>6.6100924000000005E-2</v>
      </c>
    </row>
    <row r="197" spans="1:23">
      <c r="A197" s="28" t="e">
        <f t="shared" si="38"/>
        <v>#DIV/0!</v>
      </c>
      <c r="B197" s="28" t="e">
        <f t="shared" si="37"/>
        <v>#DIV/0!</v>
      </c>
      <c r="H197" s="28"/>
      <c r="I197" s="28" t="s">
        <v>185</v>
      </c>
      <c r="J197" s="28">
        <v>0.54527619000000005</v>
      </c>
      <c r="K197" s="28">
        <v>0.29455520000000002</v>
      </c>
      <c r="L197" s="28">
        <v>5.3432080999999999E-2</v>
      </c>
      <c r="M197" s="28">
        <v>3.9733021999999998E-3</v>
      </c>
      <c r="N197" s="28">
        <v>2.3989184E-2</v>
      </c>
      <c r="O197" s="28">
        <v>182.18949000000001</v>
      </c>
      <c r="P197" s="28"/>
      <c r="Q197" s="28"/>
      <c r="R197" s="28"/>
      <c r="S197" s="28"/>
      <c r="T197" s="28">
        <v>55.619447000000001</v>
      </c>
    </row>
    <row r="198" spans="1:23">
      <c r="A198" s="28" t="e">
        <f t="shared" si="38"/>
        <v>#DIV/0!</v>
      </c>
      <c r="B198" s="28" t="e">
        <f t="shared" si="37"/>
        <v>#DIV/0!</v>
      </c>
      <c r="H198" s="28"/>
      <c r="I198" s="28" t="s">
        <v>187</v>
      </c>
      <c r="J198" s="28">
        <v>14.169840000000001</v>
      </c>
      <c r="K198" s="28">
        <v>0.62956062999999995</v>
      </c>
      <c r="L198" s="28">
        <v>0.53746225999999997</v>
      </c>
      <c r="M198" s="28">
        <v>-1.6148013000000001</v>
      </c>
      <c r="N198" s="28">
        <v>1.065744</v>
      </c>
      <c r="O198" s="28">
        <v>24.118100999999999</v>
      </c>
      <c r="P198" s="28"/>
      <c r="Q198" s="28"/>
      <c r="R198" s="28"/>
      <c r="S198" s="28"/>
      <c r="T198" s="28">
        <v>-7.8131037000000001</v>
      </c>
    </row>
    <row r="199" spans="1:23">
      <c r="A199" s="28" t="e">
        <f t="shared" si="38"/>
        <v>#DIV/0!</v>
      </c>
      <c r="B199" s="28" t="e">
        <f t="shared" si="37"/>
        <v>#DIV/0!</v>
      </c>
      <c r="H199" s="28"/>
      <c r="I199" s="28" t="s">
        <v>189</v>
      </c>
      <c r="J199" s="28">
        <v>-6.6913335000000004E-2</v>
      </c>
      <c r="K199" s="28">
        <v>-3.1880045000000003E-2</v>
      </c>
      <c r="L199" s="28">
        <v>-3.8110231999999998E-3</v>
      </c>
      <c r="M199" s="28">
        <v>0</v>
      </c>
      <c r="N199" s="28">
        <v>0</v>
      </c>
      <c r="O199" s="28">
        <v>1.588055</v>
      </c>
      <c r="P199" s="28"/>
      <c r="Q199" s="28"/>
      <c r="R199" s="28"/>
      <c r="S199" s="28"/>
      <c r="T199" s="28">
        <v>-0.22232526999999999</v>
      </c>
    </row>
    <row r="200" spans="1:23">
      <c r="A200" s="28" t="e">
        <f t="shared" si="38"/>
        <v>#DIV/0!</v>
      </c>
      <c r="B200" s="28" t="e">
        <f t="shared" si="37"/>
        <v>#DIV/0!</v>
      </c>
      <c r="H200" s="28"/>
      <c r="I200" s="28"/>
      <c r="J200" s="28"/>
      <c r="K200" s="28"/>
      <c r="L200" s="28"/>
      <c r="M200" s="28"/>
      <c r="N200" s="28"/>
      <c r="O200" s="28"/>
      <c r="P200" s="28"/>
      <c r="Q200" s="28"/>
      <c r="R200" s="28" t="s">
        <v>200</v>
      </c>
      <c r="S200" s="28" t="s">
        <v>201</v>
      </c>
      <c r="V200" s="28" t="s">
        <v>200</v>
      </c>
      <c r="W200" s="28" t="s">
        <v>201</v>
      </c>
    </row>
    <row r="201" spans="1:23">
      <c r="A201" s="28" t="e">
        <f t="shared" si="38"/>
        <v>#DIV/0!</v>
      </c>
      <c r="B201" s="28" t="e">
        <f t="shared" si="37"/>
        <v>#DIV/0!</v>
      </c>
      <c r="H201" s="28"/>
      <c r="I201" s="28"/>
      <c r="J201" s="28"/>
      <c r="K201" s="28"/>
      <c r="L201" s="28"/>
      <c r="M201" s="28"/>
      <c r="N201" s="28"/>
      <c r="O201" s="28"/>
      <c r="P201" s="28"/>
      <c r="Q201" s="28"/>
      <c r="R201" s="28" t="e">
        <f>J209</f>
        <v>#NUM!</v>
      </c>
      <c r="S201" s="28" t="e">
        <f>K209</f>
        <v>#NUM!</v>
      </c>
      <c r="V201" s="28" t="e">
        <f>R201</f>
        <v>#NUM!</v>
      </c>
      <c r="W201" s="28" t="e">
        <f>S201</f>
        <v>#NUM!</v>
      </c>
    </row>
    <row r="202" spans="1:23">
      <c r="A202" s="28" t="e">
        <f t="shared" si="38"/>
        <v>#DIV/0!</v>
      </c>
      <c r="B202" s="28" t="e">
        <f t="shared" si="37"/>
        <v>#DIV/0!</v>
      </c>
      <c r="H202" s="28"/>
      <c r="I202" s="28"/>
      <c r="J202" s="28"/>
      <c r="K202" s="28"/>
      <c r="L202" s="28"/>
      <c r="M202" s="28"/>
      <c r="N202" s="28" t="s">
        <v>202</v>
      </c>
      <c r="O202" s="28"/>
      <c r="P202" s="28"/>
      <c r="Q202" s="28" t="s">
        <v>203</v>
      </c>
      <c r="R202" s="28" t="e">
        <f>V206</f>
        <v>#NUM!</v>
      </c>
      <c r="S202" s="28" t="e">
        <f>W206</f>
        <v>#NUM!</v>
      </c>
      <c r="U202" s="49" t="s">
        <v>204</v>
      </c>
      <c r="V202" s="28" t="e">
        <f>IF(V201&lt;=-3,1,0)</f>
        <v>#NUM!</v>
      </c>
      <c r="W202" s="28" t="e">
        <f>IF(W201&lt;=-3,1,0)</f>
        <v>#NUM!</v>
      </c>
    </row>
    <row r="203" spans="1:23">
      <c r="A203" s="28" t="e">
        <f t="shared" si="38"/>
        <v>#DIV/0!</v>
      </c>
      <c r="B203" s="28" t="e">
        <f t="shared" si="37"/>
        <v>#DIV/0!</v>
      </c>
      <c r="H203" s="28"/>
      <c r="I203" s="45" t="s">
        <v>205</v>
      </c>
      <c r="J203" s="45"/>
      <c r="K203" s="28"/>
      <c r="L203" s="28"/>
      <c r="M203" s="28"/>
      <c r="N203" s="28" t="s">
        <v>170</v>
      </c>
      <c r="O203" s="28" t="e">
        <f>HLOOKUP(J204,J214:Q224,2)</f>
        <v>#N/A</v>
      </c>
      <c r="P203" s="28"/>
      <c r="Q203" s="28" t="s">
        <v>170</v>
      </c>
      <c r="R203" s="28" t="e">
        <f>HLOOKUP(R202,T214:W224,2)</f>
        <v>#NUM!</v>
      </c>
      <c r="S203" s="28" t="e">
        <f>HLOOKUP(S202,T214:W224,2)</f>
        <v>#NUM!</v>
      </c>
      <c r="U203" s="49" t="s">
        <v>206</v>
      </c>
      <c r="V203" s="28" t="e">
        <f>IF(V201&lt;=-1,1,0)</f>
        <v>#NUM!</v>
      </c>
      <c r="W203" s="28" t="e">
        <f>IF(W201&lt;=-1,1,0)</f>
        <v>#NUM!</v>
      </c>
    </row>
    <row r="204" spans="1:23">
      <c r="A204" s="28" t="e">
        <f t="shared" si="38"/>
        <v>#DIV/0!</v>
      </c>
      <c r="B204" s="28" t="e">
        <f t="shared" si="37"/>
        <v>#DIV/0!</v>
      </c>
      <c r="H204" s="28"/>
      <c r="I204" s="45" t="s">
        <v>169</v>
      </c>
      <c r="J204" s="46">
        <f>T10</f>
        <v>0</v>
      </c>
      <c r="K204" s="28"/>
      <c r="L204" s="28"/>
      <c r="M204" s="28"/>
      <c r="N204" s="28" t="s">
        <v>172</v>
      </c>
      <c r="O204" s="28" t="e">
        <f>HLOOKUP(J204,J214:Q224,3)</f>
        <v>#N/A</v>
      </c>
      <c r="P204" s="28"/>
      <c r="Q204" s="28" t="s">
        <v>172</v>
      </c>
      <c r="R204" s="28" t="e">
        <f>HLOOKUP(R202,T214:W224,3)</f>
        <v>#NUM!</v>
      </c>
      <c r="S204" s="28" t="e">
        <f>HLOOKUP(S202,T214:W224,3)</f>
        <v>#NUM!</v>
      </c>
      <c r="U204" s="49" t="s">
        <v>207</v>
      </c>
      <c r="V204" s="28" t="e">
        <f>IF(V201&lt;=1,1,0)</f>
        <v>#NUM!</v>
      </c>
      <c r="W204" s="28" t="e">
        <f>IF(W201&lt;=1,1,0)</f>
        <v>#NUM!</v>
      </c>
    </row>
    <row r="205" spans="1:23">
      <c r="A205" s="28" t="e">
        <f t="shared" si="38"/>
        <v>#DIV/0!</v>
      </c>
      <c r="B205" s="28" t="e">
        <f t="shared" si="37"/>
        <v>#DIV/0!</v>
      </c>
      <c r="H205" s="28"/>
      <c r="I205" s="45" t="s">
        <v>208</v>
      </c>
      <c r="J205" s="45">
        <f>B6</f>
        <v>0</v>
      </c>
      <c r="K205" s="28"/>
      <c r="L205" s="28"/>
      <c r="M205" s="28"/>
      <c r="N205" s="28" t="s">
        <v>174</v>
      </c>
      <c r="O205" s="28" t="e">
        <f>HLOOKUP(J204,J214:Q224,4)</f>
        <v>#N/A</v>
      </c>
      <c r="P205" s="28"/>
      <c r="Q205" s="28" t="s">
        <v>174</v>
      </c>
      <c r="R205" s="28" t="e">
        <f>HLOOKUP(R202,T214:W224,4)</f>
        <v>#NUM!</v>
      </c>
      <c r="S205" s="28" t="e">
        <f>HLOOKUP(S202,T214:W224,4)</f>
        <v>#NUM!</v>
      </c>
      <c r="U205" s="49" t="s">
        <v>209</v>
      </c>
      <c r="V205" s="28" t="e">
        <f>IF(V201&lt;=2.5,1,0)</f>
        <v>#NUM!</v>
      </c>
      <c r="W205" s="28" t="e">
        <f>IF(W201&lt;=2.5,1,0)</f>
        <v>#NUM!</v>
      </c>
    </row>
    <row r="206" spans="1:23">
      <c r="A206" s="28" t="e">
        <f t="shared" si="38"/>
        <v>#DIV/0!</v>
      </c>
      <c r="B206" s="28" t="e">
        <f t="shared" si="37"/>
        <v>#DIV/0!</v>
      </c>
      <c r="H206" s="28"/>
      <c r="I206" s="45" t="s">
        <v>210</v>
      </c>
      <c r="J206" s="46" t="e">
        <f>T20</f>
        <v>#DIV/0!</v>
      </c>
      <c r="K206" s="28" t="e">
        <f>EXP(J206)</f>
        <v>#DIV/0!</v>
      </c>
      <c r="L206" s="28" t="s">
        <v>211</v>
      </c>
      <c r="M206" s="28"/>
      <c r="N206" s="28" t="s">
        <v>177</v>
      </c>
      <c r="O206" s="28" t="e">
        <f>HLOOKUP(J204,J214:Q224,5)</f>
        <v>#N/A</v>
      </c>
      <c r="P206" s="28"/>
      <c r="Q206" s="28" t="s">
        <v>177</v>
      </c>
      <c r="R206" s="28" t="e">
        <f>HLOOKUP(R202,T214:W224,5)</f>
        <v>#NUM!</v>
      </c>
      <c r="S206" s="28" t="e">
        <f>HLOOKUP(S202,T214:W224,5)</f>
        <v>#NUM!</v>
      </c>
      <c r="U206" s="28" t="s">
        <v>203</v>
      </c>
      <c r="V206" s="28" t="e">
        <f>SUM(V202:V205)</f>
        <v>#NUM!</v>
      </c>
      <c r="W206" s="28" t="e">
        <f>SUM(W202:W205)</f>
        <v>#NUM!</v>
      </c>
    </row>
    <row r="207" spans="1:23">
      <c r="A207" s="28" t="e">
        <f t="shared" si="38"/>
        <v>#DIV/0!</v>
      </c>
      <c r="B207" s="28" t="e">
        <f t="shared" si="37"/>
        <v>#DIV/0!</v>
      </c>
      <c r="H207" s="28"/>
      <c r="I207" s="45" t="s">
        <v>212</v>
      </c>
      <c r="J207" s="46" t="e">
        <f>T21</f>
        <v>#DIV/0!</v>
      </c>
      <c r="K207" s="28" t="e">
        <f>EXP(J207)</f>
        <v>#DIV/0!</v>
      </c>
      <c r="L207" s="28" t="s">
        <v>213</v>
      </c>
      <c r="M207" s="28"/>
      <c r="N207" s="28" t="s">
        <v>179</v>
      </c>
      <c r="O207" s="28" t="e">
        <f>HLOOKUP(J204,J214:Q224,6)</f>
        <v>#N/A</v>
      </c>
      <c r="P207" s="28"/>
      <c r="Q207" s="28" t="s">
        <v>179</v>
      </c>
      <c r="R207" s="28" t="e">
        <f>HLOOKUP(R202,T214:W224,6)</f>
        <v>#NUM!</v>
      </c>
      <c r="S207" s="28" t="e">
        <f>HLOOKUP(S202,T214:W224,6)</f>
        <v>#NUM!</v>
      </c>
    </row>
    <row r="208" spans="1:23">
      <c r="A208" s="28" t="e">
        <f t="shared" si="38"/>
        <v>#DIV/0!</v>
      </c>
      <c r="B208" s="28" t="e">
        <f t="shared" si="37"/>
        <v>#DIV/0!</v>
      </c>
      <c r="H208" s="28"/>
      <c r="I208" s="45"/>
      <c r="J208" s="45"/>
      <c r="K208" s="28"/>
      <c r="L208" s="28"/>
      <c r="M208" s="28"/>
      <c r="N208" s="28" t="s">
        <v>181</v>
      </c>
      <c r="O208" s="28" t="e">
        <f>HLOOKUP(J204,J214:Q224,7)</f>
        <v>#N/A</v>
      </c>
      <c r="P208" s="28"/>
      <c r="Q208" s="28" t="s">
        <v>181</v>
      </c>
      <c r="R208" s="28" t="e">
        <f>HLOOKUP(R202,T214:W224,7)</f>
        <v>#NUM!</v>
      </c>
      <c r="S208" s="28" t="e">
        <f>HLOOKUP(S202,T214:W224,7)</f>
        <v>#NUM!</v>
      </c>
    </row>
    <row r="209" spans="1:23">
      <c r="A209" s="28" t="e">
        <f t="shared" si="38"/>
        <v>#DIV/0!</v>
      </c>
      <c r="B209" s="28" t="e">
        <f t="shared" si="37"/>
        <v>#DIV/0!</v>
      </c>
      <c r="H209" s="28"/>
      <c r="I209" s="45" t="s">
        <v>214</v>
      </c>
      <c r="J209" s="45" t="e">
        <f>(LN(J205)-J206)/J207</f>
        <v>#NUM!</v>
      </c>
      <c r="K209" s="28" t="e">
        <f>-J209</f>
        <v>#NUM!</v>
      </c>
      <c r="L209" s="28"/>
      <c r="M209" s="28"/>
      <c r="N209" s="28" t="s">
        <v>183</v>
      </c>
      <c r="O209" s="28" t="e">
        <f>HLOOKUP(J204,J214:Q224,8)</f>
        <v>#N/A</v>
      </c>
      <c r="P209" s="28"/>
      <c r="Q209" s="28" t="s">
        <v>183</v>
      </c>
      <c r="R209" s="28" t="e">
        <f>HLOOKUP(R202,T214:W224,8)</f>
        <v>#NUM!</v>
      </c>
      <c r="S209" s="28" t="e">
        <f>HLOOKUP(S202,T214:W224,8)</f>
        <v>#NUM!</v>
      </c>
    </row>
    <row r="210" spans="1:23">
      <c r="A210" s="28" t="e">
        <f t="shared" si="38"/>
        <v>#DIV/0!</v>
      </c>
      <c r="B210" s="28" t="e">
        <f t="shared" si="37"/>
        <v>#DIV/0!</v>
      </c>
      <c r="H210" s="28"/>
      <c r="I210" s="45" t="s">
        <v>215</v>
      </c>
      <c r="J210" s="45" t="e">
        <f>1-NORMSDIST(J209)</f>
        <v>#NUM!</v>
      </c>
      <c r="K210" s="28"/>
      <c r="L210" s="28" t="s">
        <v>216</v>
      </c>
      <c r="M210" s="28" t="s">
        <v>217</v>
      </c>
      <c r="N210" s="28" t="s">
        <v>185</v>
      </c>
      <c r="O210" s="28" t="e">
        <f>HLOOKUP(J204,J214:Q224,9)</f>
        <v>#N/A</v>
      </c>
      <c r="P210" s="28"/>
      <c r="Q210" s="28" t="s">
        <v>185</v>
      </c>
      <c r="R210" s="28" t="e">
        <f>HLOOKUP(R202,T214:W224,9)</f>
        <v>#NUM!</v>
      </c>
      <c r="S210" s="28" t="e">
        <f>HLOOKUP(S202,T214:W224,9)</f>
        <v>#NUM!</v>
      </c>
    </row>
    <row r="211" spans="1:23">
      <c r="A211" s="28" t="e">
        <f t="shared" si="38"/>
        <v>#DIV/0!</v>
      </c>
      <c r="B211" s="28" t="e">
        <f t="shared" si="37"/>
        <v>#DIV/0!</v>
      </c>
      <c r="H211" s="28"/>
      <c r="I211" s="45" t="s">
        <v>218</v>
      </c>
      <c r="J211" s="45" t="e">
        <f>IF(J204&lt;10,L211,M211)</f>
        <v>#N/A</v>
      </c>
      <c r="K211" s="28"/>
      <c r="L211" s="28" t="e">
        <f>(O203+(O205*J209)+(O207*(J209^2))+(O209*(J209^3))+(O211*(J209^4)))/(1+(O204*J209)+(O206*(J209^2))+(O208*(J209^3))+(O210*(J209^4))+(O212*(J209^5)))</f>
        <v>#N/A</v>
      </c>
      <c r="M211" s="28" t="e">
        <f>R203+(R204*J209)+(R205/J204)+(R206*(J209^2))+(R207/(J204^2))+(R208*J209/J204)+(R209*(J209^3))+(R210/(J204^3))+(R211*J209/(J204^2))+(R212*(J209^2)/J204)</f>
        <v>#NUM!</v>
      </c>
      <c r="N211" s="28" t="s">
        <v>187</v>
      </c>
      <c r="O211" s="28" t="e">
        <f>HLOOKUP(J204,J214:Q224,10)</f>
        <v>#N/A</v>
      </c>
      <c r="P211" s="28"/>
      <c r="Q211" s="28" t="s">
        <v>187</v>
      </c>
      <c r="R211" s="28" t="e">
        <f>HLOOKUP(R202,T214:W224,10)</f>
        <v>#NUM!</v>
      </c>
      <c r="S211" s="28" t="e">
        <f>HLOOKUP(S202,T214:W224,10)</f>
        <v>#NUM!</v>
      </c>
    </row>
    <row r="212" spans="1:23">
      <c r="A212" s="28" t="e">
        <f t="shared" si="38"/>
        <v>#DIV/0!</v>
      </c>
      <c r="B212" s="28" t="e">
        <f t="shared" si="37"/>
        <v>#DIV/0!</v>
      </c>
      <c r="H212" s="28"/>
      <c r="I212" s="45" t="s">
        <v>219</v>
      </c>
      <c r="J212" s="45" t="e">
        <f>IF(J204&lt;10,L212,M212)</f>
        <v>#N/A</v>
      </c>
      <c r="K212" s="28"/>
      <c r="L212" s="28" t="e">
        <f>1-(O203+(O205*K209)+(O207*(K209^2))+(O209*(K209^3))+(O211*(K209^4)))/(1+(O204*K209)+(O206*(K209^2))+(O208*(K209^3))+(O210*(K209^4))+(O212*(K209^5)))</f>
        <v>#N/A</v>
      </c>
      <c r="M212" s="28" t="e">
        <f>1-(S203+(S204*K209)+(S205/J204)+(S206*(K209^2))+(S207/(J204^2))+(S208*K209/J204)+(S209*(K209^3))+(S210/(J204^3))+(S211*K209/(J204^2))+(S212*(K209^2)/J204))</f>
        <v>#NUM!</v>
      </c>
      <c r="N212" s="28" t="s">
        <v>189</v>
      </c>
      <c r="O212" s="28" t="e">
        <f>HLOOKUP(J204,J214:Q224,11)</f>
        <v>#N/A</v>
      </c>
      <c r="P212" s="28"/>
      <c r="Q212" s="28" t="s">
        <v>189</v>
      </c>
      <c r="R212" s="28" t="e">
        <f>HLOOKUP(R202,T214:W224,11)</f>
        <v>#NUM!</v>
      </c>
      <c r="S212" s="28" t="e">
        <f>HLOOKUP(S202,T214:W224,11)</f>
        <v>#NUM!</v>
      </c>
    </row>
    <row r="213" spans="1:23">
      <c r="A213" s="28" t="e">
        <f t="shared" si="38"/>
        <v>#DIV/0!</v>
      </c>
      <c r="B213" s="28" t="e">
        <f t="shared" si="37"/>
        <v>#DIV/0!</v>
      </c>
      <c r="H213" s="28"/>
      <c r="I213" s="50" t="s">
        <v>220</v>
      </c>
      <c r="J213" s="28"/>
      <c r="K213" s="28"/>
      <c r="L213" s="28"/>
      <c r="M213" s="28"/>
      <c r="N213" s="28"/>
      <c r="O213" s="28"/>
      <c r="P213" s="28"/>
      <c r="Q213" s="28"/>
      <c r="R213" s="28"/>
      <c r="S213" s="28" t="s">
        <v>221</v>
      </c>
      <c r="T213" s="28" t="s">
        <v>209</v>
      </c>
      <c r="U213" s="28" t="s">
        <v>222</v>
      </c>
      <c r="V213" s="28" t="s">
        <v>223</v>
      </c>
      <c r="W213" s="28" t="s">
        <v>224</v>
      </c>
    </row>
    <row r="214" spans="1:23">
      <c r="A214" s="28" t="e">
        <f t="shared" si="38"/>
        <v>#DIV/0!</v>
      </c>
      <c r="B214" s="28" t="e">
        <f t="shared" si="37"/>
        <v>#DIV/0!</v>
      </c>
      <c r="H214" s="28"/>
      <c r="I214" s="28" t="s">
        <v>127</v>
      </c>
      <c r="J214" s="28">
        <v>2</v>
      </c>
      <c r="K214" s="28">
        <v>3</v>
      </c>
      <c r="L214" s="28">
        <v>4</v>
      </c>
      <c r="M214" s="28">
        <v>5</v>
      </c>
      <c r="N214" s="28">
        <v>6</v>
      </c>
      <c r="O214" s="28">
        <v>7</v>
      </c>
      <c r="P214" s="28">
        <v>8</v>
      </c>
      <c r="Q214" s="28">
        <v>9</v>
      </c>
      <c r="R214" s="28"/>
      <c r="S214" s="28" t="s">
        <v>225</v>
      </c>
      <c r="T214" s="28">
        <v>1</v>
      </c>
      <c r="U214" s="28">
        <v>2</v>
      </c>
      <c r="V214" s="28">
        <v>3</v>
      </c>
      <c r="W214" s="28">
        <v>4</v>
      </c>
    </row>
    <row r="215" spans="1:23">
      <c r="A215" s="28" t="e">
        <f t="shared" si="38"/>
        <v>#DIV/0!</v>
      </c>
      <c r="B215" s="28" t="e">
        <f t="shared" si="37"/>
        <v>#DIV/0!</v>
      </c>
      <c r="H215" s="28"/>
      <c r="I215" s="28" t="s">
        <v>170</v>
      </c>
      <c r="J215" s="28">
        <v>0.12238976</v>
      </c>
      <c r="K215" s="28">
        <v>0.17122854000000001</v>
      </c>
      <c r="L215" s="28">
        <v>0.20519873999999999</v>
      </c>
      <c r="M215" s="28">
        <v>0.23077928</v>
      </c>
      <c r="N215" s="28">
        <v>0.25103596</v>
      </c>
      <c r="O215" s="28">
        <v>0.26744948000000002</v>
      </c>
      <c r="P215" s="28">
        <v>0.28087030000000002</v>
      </c>
      <c r="Q215" s="28">
        <v>0.29176735999999998</v>
      </c>
      <c r="R215" s="28"/>
      <c r="S215" s="28" t="s">
        <v>170</v>
      </c>
      <c r="T215" s="28">
        <v>0.51277463999999995</v>
      </c>
      <c r="U215" s="28">
        <v>0.46043718</v>
      </c>
      <c r="V215" s="28">
        <v>0.43098160000000002</v>
      </c>
      <c r="W215" s="28">
        <v>0.84985991999999999</v>
      </c>
    </row>
    <row r="216" spans="1:23">
      <c r="A216" s="28" t="e">
        <f t="shared" si="38"/>
        <v>#DIV/0!</v>
      </c>
      <c r="B216" s="28" t="e">
        <f t="shared" si="37"/>
        <v>#DIV/0!</v>
      </c>
      <c r="H216" s="28"/>
      <c r="I216" s="28" t="s">
        <v>172</v>
      </c>
      <c r="J216" s="28">
        <v>-0.79631443000000002</v>
      </c>
      <c r="K216" s="28">
        <v>-0.62825761999999996</v>
      </c>
      <c r="L216" s="28">
        <v>-0.41686535000000002</v>
      </c>
      <c r="M216" s="28">
        <v>-0.32020281</v>
      </c>
      <c r="N216" s="28">
        <v>-0.33159504000000001</v>
      </c>
      <c r="O216" s="28">
        <v>-0.37860540999999998</v>
      </c>
      <c r="P216" s="28">
        <v>-0.42106990999999999</v>
      </c>
      <c r="Q216" s="28">
        <v>-0.41208274</v>
      </c>
      <c r="R216" s="28"/>
      <c r="S216" s="28" t="s">
        <v>172</v>
      </c>
      <c r="T216" s="28">
        <v>-0.58394902999999998</v>
      </c>
      <c r="U216" s="28">
        <v>-0.39350994</v>
      </c>
      <c r="V216" s="28">
        <v>-0.51785565</v>
      </c>
      <c r="W216" s="28">
        <v>-0.10444568999999999</v>
      </c>
    </row>
    <row r="217" spans="1:23">
      <c r="A217" s="28" t="e">
        <f t="shared" si="38"/>
        <v>#DIV/0!</v>
      </c>
      <c r="B217" s="28" t="e">
        <f t="shared" si="37"/>
        <v>#DIV/0!</v>
      </c>
      <c r="H217" s="28"/>
      <c r="I217" s="28" t="s">
        <v>174</v>
      </c>
      <c r="J217" s="28">
        <v>-0.25562613000000001</v>
      </c>
      <c r="K217" s="28">
        <v>-0.32999752999999998</v>
      </c>
      <c r="L217" s="28">
        <v>-0.34671932999999999</v>
      </c>
      <c r="M217" s="28">
        <v>-0.35974317</v>
      </c>
      <c r="N217" s="28">
        <v>-0.38587565000000001</v>
      </c>
      <c r="O217" s="28">
        <v>-0.41555505999999998</v>
      </c>
      <c r="P217" s="28">
        <v>-0.44047550000000002</v>
      </c>
      <c r="Q217" s="28">
        <v>-0.44799084</v>
      </c>
      <c r="R217" s="28"/>
      <c r="S217" s="28" t="s">
        <v>174</v>
      </c>
      <c r="T217" s="28">
        <v>-3.2356720999999999</v>
      </c>
      <c r="U217" s="28">
        <v>-3.0083240999999998</v>
      </c>
      <c r="V217" s="28">
        <v>-3.5510324</v>
      </c>
      <c r="W217" s="28">
        <v>-1.7237194</v>
      </c>
    </row>
    <row r="218" spans="1:23">
      <c r="A218" s="28" t="e">
        <f t="shared" si="38"/>
        <v>#DIV/0!</v>
      </c>
      <c r="B218" s="28" t="e">
        <f t="shared" si="37"/>
        <v>#DIV/0!</v>
      </c>
      <c r="H218" s="28"/>
      <c r="I218" s="28" t="s">
        <v>177</v>
      </c>
      <c r="J218" s="28">
        <v>0.62321283000000005</v>
      </c>
      <c r="K218" s="28">
        <v>0.45890014000000001</v>
      </c>
      <c r="L218" s="28">
        <v>0.39624351000000002</v>
      </c>
      <c r="M218" s="28">
        <v>0.36681409999999998</v>
      </c>
      <c r="N218" s="28">
        <v>0.35976566999999998</v>
      </c>
      <c r="O218" s="28">
        <v>0.35579904000000001</v>
      </c>
      <c r="P218" s="28">
        <v>0.33952906999999999</v>
      </c>
      <c r="Q218" s="28">
        <v>0.2997494</v>
      </c>
      <c r="R218" s="28"/>
      <c r="S218" s="28" t="s">
        <v>177</v>
      </c>
      <c r="T218" s="28">
        <v>0.23062219</v>
      </c>
      <c r="U218" s="28">
        <v>1.7126957000000002E-2</v>
      </c>
      <c r="V218" s="28">
        <v>-0.15167578000000001</v>
      </c>
      <c r="W218" s="28">
        <v>-2.3751543E-2</v>
      </c>
    </row>
    <row r="219" spans="1:23">
      <c r="A219" s="28" t="e">
        <f t="shared" si="38"/>
        <v>#DIV/0!</v>
      </c>
      <c r="B219" s="28" t="e">
        <f t="shared" si="37"/>
        <v>#DIV/0!</v>
      </c>
      <c r="H219" s="28"/>
      <c r="I219" s="28" t="s">
        <v>179</v>
      </c>
      <c r="J219" s="28">
        <v>0.19574786999999999</v>
      </c>
      <c r="K219" s="28">
        <v>0.23720441</v>
      </c>
      <c r="L219" s="28">
        <v>0.22081342000000001</v>
      </c>
      <c r="M219" s="28">
        <v>0.21151929</v>
      </c>
      <c r="N219" s="28">
        <v>0.22660236</v>
      </c>
      <c r="O219" s="28">
        <v>0.24959629999999999</v>
      </c>
      <c r="P219" s="28">
        <v>0.26694773999999999</v>
      </c>
      <c r="Q219" s="28">
        <v>0.26105641000000002</v>
      </c>
      <c r="R219" s="28"/>
      <c r="S219" s="28" t="s">
        <v>179</v>
      </c>
      <c r="T219" s="28">
        <v>16.275669000000001</v>
      </c>
      <c r="U219" s="28">
        <v>23.545017999999999</v>
      </c>
      <c r="V219" s="28">
        <v>15.065522</v>
      </c>
      <c r="W219" s="28">
        <v>-3.9368854</v>
      </c>
    </row>
    <row r="220" spans="1:23">
      <c r="A220" s="28" t="e">
        <f t="shared" si="38"/>
        <v>#DIV/0!</v>
      </c>
      <c r="B220" s="28" t="e">
        <f t="shared" si="37"/>
        <v>#DIV/0!</v>
      </c>
      <c r="H220" s="28"/>
      <c r="I220" s="28" t="s">
        <v>181</v>
      </c>
      <c r="J220" s="28">
        <v>-8.4198051999999995E-2</v>
      </c>
      <c r="K220" s="28">
        <v>-4.8766762999999998E-2</v>
      </c>
      <c r="L220" s="28">
        <v>-2.1901221000000001E-3</v>
      </c>
      <c r="M220" s="28">
        <v>1.7311732E-2</v>
      </c>
      <c r="N220" s="28">
        <v>1.5222153E-2</v>
      </c>
      <c r="O220" s="28">
        <v>5.3476195000000002E-3</v>
      </c>
      <c r="P220" s="28">
        <v>-7.7716961000000003E-3</v>
      </c>
      <c r="Q220" s="28">
        <v>-1.8123133999999999E-2</v>
      </c>
      <c r="R220" s="28"/>
      <c r="S220" s="28" t="s">
        <v>181</v>
      </c>
      <c r="T220" s="28">
        <v>1.9621074999999999</v>
      </c>
      <c r="U220" s="28">
        <v>0.57065891000000002</v>
      </c>
      <c r="V220" s="28">
        <v>-0.88901627000000005</v>
      </c>
      <c r="W220" s="28">
        <v>-0.74377057000000002</v>
      </c>
    </row>
    <row r="221" spans="1:23">
      <c r="A221" s="28" t="e">
        <f t="shared" si="38"/>
        <v>#DIV/0!</v>
      </c>
      <c r="B221" s="28" t="e">
        <f t="shared" si="37"/>
        <v>#DIV/0!</v>
      </c>
      <c r="H221" s="28"/>
      <c r="I221" s="28" t="s">
        <v>183</v>
      </c>
      <c r="J221" s="28">
        <v>-6.4788476999999997E-2</v>
      </c>
      <c r="K221" s="28">
        <v>-7.4770321000000001E-2</v>
      </c>
      <c r="L221" s="28">
        <v>-6.2505027000000005E-2</v>
      </c>
      <c r="M221" s="28">
        <v>-5.5412858000000002E-2</v>
      </c>
      <c r="N221" s="28">
        <v>-6.0028452000000003E-2</v>
      </c>
      <c r="O221" s="28">
        <v>-6.8242076999999998E-2</v>
      </c>
      <c r="P221" s="28">
        <v>-7.3499064000000003E-2</v>
      </c>
      <c r="Q221" s="28">
        <v>-6.7998643999999997E-2</v>
      </c>
      <c r="R221" s="28"/>
      <c r="S221" s="28" t="s">
        <v>183</v>
      </c>
      <c r="T221" s="28">
        <v>-3.1398708999999997E-2</v>
      </c>
      <c r="U221" s="28">
        <v>5.1323680000000003E-2</v>
      </c>
      <c r="V221" s="28">
        <v>-1.3906317E-2</v>
      </c>
      <c r="W221" s="28">
        <v>-1.7645180000000001E-3</v>
      </c>
    </row>
    <row r="222" spans="1:23">
      <c r="A222" s="28" t="e">
        <f t="shared" si="38"/>
        <v>#DIV/0!</v>
      </c>
      <c r="B222" s="28" t="e">
        <f t="shared" si="37"/>
        <v>#DIV/0!</v>
      </c>
      <c r="H222" s="28"/>
      <c r="I222" s="28" t="s">
        <v>185</v>
      </c>
      <c r="J222" s="28">
        <v>1.0155459E-2</v>
      </c>
      <c r="K222" s="28">
        <v>7.4394752999999997E-3</v>
      </c>
      <c r="L222" s="28">
        <v>1.242331E-2</v>
      </c>
      <c r="M222" s="28">
        <v>1.6082264999999998E-2</v>
      </c>
      <c r="N222" s="28">
        <v>1.8893001999999999E-2</v>
      </c>
      <c r="O222" s="28">
        <v>2.1133398000000001E-2</v>
      </c>
      <c r="P222" s="28">
        <v>2.1507036E-2</v>
      </c>
      <c r="Q222" s="28">
        <v>1.8286782000000001E-2</v>
      </c>
      <c r="R222" s="28"/>
      <c r="S222" s="28" t="s">
        <v>185</v>
      </c>
      <c r="T222" s="28">
        <v>-38.374149000000003</v>
      </c>
      <c r="U222" s="28">
        <v>-95.217179000000002</v>
      </c>
      <c r="V222" s="28">
        <v>-28.603919000000001</v>
      </c>
      <c r="W222" s="28">
        <v>-3.6278939000000001</v>
      </c>
    </row>
    <row r="223" spans="1:23">
      <c r="A223" s="28" t="e">
        <f t="shared" si="38"/>
        <v>#DIV/0!</v>
      </c>
      <c r="B223" s="28" t="e">
        <f t="shared" si="37"/>
        <v>#DIV/0!</v>
      </c>
      <c r="H223" s="28"/>
      <c r="I223" s="28" t="s">
        <v>187</v>
      </c>
      <c r="J223" s="28">
        <v>7.8116899999999996E-3</v>
      </c>
      <c r="K223" s="28">
        <v>8.6832235999999997E-3</v>
      </c>
      <c r="L223" s="28">
        <v>6.6100910000000002E-3</v>
      </c>
      <c r="M223" s="28">
        <v>5.4430996000000001E-3</v>
      </c>
      <c r="N223" s="28">
        <v>6.0266215E-3</v>
      </c>
      <c r="O223" s="28">
        <v>7.1093587999999999E-3</v>
      </c>
      <c r="P223" s="28">
        <v>7.6912485999999997E-3</v>
      </c>
      <c r="Q223" s="28">
        <v>6.6496814999999999E-3</v>
      </c>
      <c r="R223" s="28"/>
      <c r="S223" s="28" t="s">
        <v>187</v>
      </c>
      <c r="T223" s="28">
        <v>-4.2255646999999996</v>
      </c>
      <c r="U223" s="28">
        <v>-0.24379782</v>
      </c>
      <c r="V223" s="28">
        <v>4.7266801000000003</v>
      </c>
      <c r="W223" s="28">
        <v>-0.81224390999999996</v>
      </c>
    </row>
    <row r="224" spans="1:23">
      <c r="A224" s="28" t="e">
        <f t="shared" si="38"/>
        <v>#DIV/0!</v>
      </c>
      <c r="B224" s="28" t="e">
        <f t="shared" si="37"/>
        <v>#DIV/0!</v>
      </c>
      <c r="H224" s="28"/>
      <c r="I224" s="28" t="s">
        <v>189</v>
      </c>
      <c r="J224" s="28">
        <v>2.4635789000000002E-4</v>
      </c>
      <c r="K224" s="28">
        <v>-1.5279304999999999E-4</v>
      </c>
      <c r="L224" s="28">
        <v>1.5401392999999999E-4</v>
      </c>
      <c r="M224" s="28">
        <v>5.1278260999999999E-4</v>
      </c>
      <c r="N224" s="28">
        <v>7.1438443E-4</v>
      </c>
      <c r="O224" s="28">
        <v>8.4561726000000005E-4</v>
      </c>
      <c r="P224" s="28">
        <v>8.8810805999999995E-4</v>
      </c>
      <c r="Q224" s="28">
        <v>7.9576389000000003E-4</v>
      </c>
      <c r="R224" s="28"/>
      <c r="S224" s="28" t="s">
        <v>189</v>
      </c>
      <c r="T224" s="28">
        <v>-0.30743814000000003</v>
      </c>
      <c r="U224" s="28">
        <v>0.25439448999999997</v>
      </c>
      <c r="V224" s="28">
        <v>7.6866619999999997E-2</v>
      </c>
      <c r="W224" s="28">
        <v>-7.8672770000000003E-2</v>
      </c>
    </row>
    <row r="225" spans="1:2">
      <c r="A225" s="28" t="e">
        <f t="shared" si="38"/>
        <v>#DIV/0!</v>
      </c>
      <c r="B225" s="28" t="e">
        <f t="shared" ref="B225:B256" si="39">(EXP(((LN(A225)-$T$20)^2)/(-2*($T$21^2))))/(A225*$T$21*SQRT(2*PI()))</f>
        <v>#DIV/0!</v>
      </c>
    </row>
    <row r="226" spans="1:2">
      <c r="A226" s="28" t="e">
        <f t="shared" ref="A226:A260" si="40">A225+$B$158</f>
        <v>#DIV/0!</v>
      </c>
      <c r="B226" s="28" t="e">
        <f t="shared" si="39"/>
        <v>#DIV/0!</v>
      </c>
    </row>
    <row r="227" spans="1:2">
      <c r="A227" s="28" t="e">
        <f t="shared" si="40"/>
        <v>#DIV/0!</v>
      </c>
      <c r="B227" s="28" t="e">
        <f t="shared" si="39"/>
        <v>#DIV/0!</v>
      </c>
    </row>
    <row r="228" spans="1:2">
      <c r="A228" s="28" t="e">
        <f t="shared" si="40"/>
        <v>#DIV/0!</v>
      </c>
      <c r="B228" s="28" t="e">
        <f t="shared" si="39"/>
        <v>#DIV/0!</v>
      </c>
    </row>
    <row r="229" spans="1:2">
      <c r="A229" s="28" t="e">
        <f t="shared" si="40"/>
        <v>#DIV/0!</v>
      </c>
      <c r="B229" s="28" t="e">
        <f t="shared" si="39"/>
        <v>#DIV/0!</v>
      </c>
    </row>
    <row r="230" spans="1:2">
      <c r="A230" s="28" t="e">
        <f t="shared" si="40"/>
        <v>#DIV/0!</v>
      </c>
      <c r="B230" s="28" t="e">
        <f t="shared" si="39"/>
        <v>#DIV/0!</v>
      </c>
    </row>
    <row r="231" spans="1:2">
      <c r="A231" s="28" t="e">
        <f t="shared" si="40"/>
        <v>#DIV/0!</v>
      </c>
      <c r="B231" s="28" t="e">
        <f t="shared" si="39"/>
        <v>#DIV/0!</v>
      </c>
    </row>
    <row r="232" spans="1:2">
      <c r="A232" s="28" t="e">
        <f t="shared" si="40"/>
        <v>#DIV/0!</v>
      </c>
      <c r="B232" s="28" t="e">
        <f t="shared" si="39"/>
        <v>#DIV/0!</v>
      </c>
    </row>
    <row r="233" spans="1:2">
      <c r="A233" s="28" t="e">
        <f t="shared" si="40"/>
        <v>#DIV/0!</v>
      </c>
      <c r="B233" s="28" t="e">
        <f t="shared" si="39"/>
        <v>#DIV/0!</v>
      </c>
    </row>
    <row r="234" spans="1:2">
      <c r="A234" s="28" t="e">
        <f t="shared" si="40"/>
        <v>#DIV/0!</v>
      </c>
      <c r="B234" s="28" t="e">
        <f t="shared" si="39"/>
        <v>#DIV/0!</v>
      </c>
    </row>
    <row r="235" spans="1:2">
      <c r="A235" s="28" t="e">
        <f t="shared" si="40"/>
        <v>#DIV/0!</v>
      </c>
      <c r="B235" s="28" t="e">
        <f t="shared" si="39"/>
        <v>#DIV/0!</v>
      </c>
    </row>
    <row r="236" spans="1:2">
      <c r="A236" s="28" t="e">
        <f t="shared" si="40"/>
        <v>#DIV/0!</v>
      </c>
      <c r="B236" s="28" t="e">
        <f t="shared" si="39"/>
        <v>#DIV/0!</v>
      </c>
    </row>
    <row r="237" spans="1:2">
      <c r="A237" s="28" t="e">
        <f t="shared" si="40"/>
        <v>#DIV/0!</v>
      </c>
      <c r="B237" s="28" t="e">
        <f t="shared" si="39"/>
        <v>#DIV/0!</v>
      </c>
    </row>
    <row r="238" spans="1:2">
      <c r="A238" s="28" t="e">
        <f t="shared" si="40"/>
        <v>#DIV/0!</v>
      </c>
      <c r="B238" s="28" t="e">
        <f t="shared" si="39"/>
        <v>#DIV/0!</v>
      </c>
    </row>
    <row r="239" spans="1:2">
      <c r="A239" s="28" t="e">
        <f t="shared" si="40"/>
        <v>#DIV/0!</v>
      </c>
      <c r="B239" s="28" t="e">
        <f t="shared" si="39"/>
        <v>#DIV/0!</v>
      </c>
    </row>
    <row r="240" spans="1:2">
      <c r="A240" s="28" t="e">
        <f t="shared" si="40"/>
        <v>#DIV/0!</v>
      </c>
      <c r="B240" s="28" t="e">
        <f t="shared" si="39"/>
        <v>#DIV/0!</v>
      </c>
    </row>
    <row r="241" spans="1:2">
      <c r="A241" s="28" t="e">
        <f t="shared" si="40"/>
        <v>#DIV/0!</v>
      </c>
      <c r="B241" s="28" t="e">
        <f t="shared" si="39"/>
        <v>#DIV/0!</v>
      </c>
    </row>
    <row r="242" spans="1:2">
      <c r="A242" s="28" t="e">
        <f t="shared" si="40"/>
        <v>#DIV/0!</v>
      </c>
      <c r="B242" s="28" t="e">
        <f t="shared" si="39"/>
        <v>#DIV/0!</v>
      </c>
    </row>
    <row r="243" spans="1:2">
      <c r="A243" s="28" t="e">
        <f t="shared" si="40"/>
        <v>#DIV/0!</v>
      </c>
      <c r="B243" s="28" t="e">
        <f t="shared" si="39"/>
        <v>#DIV/0!</v>
      </c>
    </row>
    <row r="244" spans="1:2">
      <c r="A244" s="28" t="e">
        <f t="shared" si="40"/>
        <v>#DIV/0!</v>
      </c>
      <c r="B244" s="28" t="e">
        <f t="shared" si="39"/>
        <v>#DIV/0!</v>
      </c>
    </row>
    <row r="245" spans="1:2">
      <c r="A245" s="28" t="e">
        <f t="shared" si="40"/>
        <v>#DIV/0!</v>
      </c>
      <c r="B245" s="28" t="e">
        <f t="shared" si="39"/>
        <v>#DIV/0!</v>
      </c>
    </row>
    <row r="246" spans="1:2">
      <c r="A246" s="28" t="e">
        <f t="shared" si="40"/>
        <v>#DIV/0!</v>
      </c>
      <c r="B246" s="28" t="e">
        <f t="shared" si="39"/>
        <v>#DIV/0!</v>
      </c>
    </row>
    <row r="247" spans="1:2">
      <c r="A247" s="28" t="e">
        <f t="shared" si="40"/>
        <v>#DIV/0!</v>
      </c>
      <c r="B247" s="28" t="e">
        <f t="shared" si="39"/>
        <v>#DIV/0!</v>
      </c>
    </row>
    <row r="248" spans="1:2">
      <c r="A248" s="28" t="e">
        <f t="shared" si="40"/>
        <v>#DIV/0!</v>
      </c>
      <c r="B248" s="28" t="e">
        <f t="shared" si="39"/>
        <v>#DIV/0!</v>
      </c>
    </row>
    <row r="249" spans="1:2">
      <c r="A249" s="28" t="e">
        <f t="shared" si="40"/>
        <v>#DIV/0!</v>
      </c>
      <c r="B249" s="28" t="e">
        <f t="shared" si="39"/>
        <v>#DIV/0!</v>
      </c>
    </row>
    <row r="250" spans="1:2">
      <c r="A250" s="28" t="e">
        <f t="shared" si="40"/>
        <v>#DIV/0!</v>
      </c>
      <c r="B250" s="28" t="e">
        <f t="shared" si="39"/>
        <v>#DIV/0!</v>
      </c>
    </row>
    <row r="251" spans="1:2">
      <c r="A251" s="28" t="e">
        <f t="shared" si="40"/>
        <v>#DIV/0!</v>
      </c>
      <c r="B251" s="28" t="e">
        <f t="shared" si="39"/>
        <v>#DIV/0!</v>
      </c>
    </row>
    <row r="252" spans="1:2">
      <c r="A252" s="28" t="e">
        <f t="shared" si="40"/>
        <v>#DIV/0!</v>
      </c>
      <c r="B252" s="28" t="e">
        <f t="shared" si="39"/>
        <v>#DIV/0!</v>
      </c>
    </row>
    <row r="253" spans="1:2">
      <c r="A253" s="28" t="e">
        <f t="shared" si="40"/>
        <v>#DIV/0!</v>
      </c>
      <c r="B253" s="28" t="e">
        <f t="shared" si="39"/>
        <v>#DIV/0!</v>
      </c>
    </row>
    <row r="254" spans="1:2">
      <c r="A254" s="28" t="e">
        <f t="shared" si="40"/>
        <v>#DIV/0!</v>
      </c>
      <c r="B254" s="28" t="e">
        <f t="shared" si="39"/>
        <v>#DIV/0!</v>
      </c>
    </row>
    <row r="255" spans="1:2">
      <c r="A255" s="28" t="e">
        <f t="shared" si="40"/>
        <v>#DIV/0!</v>
      </c>
      <c r="B255" s="28" t="e">
        <f t="shared" si="39"/>
        <v>#DIV/0!</v>
      </c>
    </row>
    <row r="256" spans="1:2">
      <c r="A256" s="28" t="e">
        <f t="shared" si="40"/>
        <v>#DIV/0!</v>
      </c>
      <c r="B256" s="28" t="e">
        <f t="shared" si="39"/>
        <v>#DIV/0!</v>
      </c>
    </row>
    <row r="257" spans="1:50">
      <c r="A257" s="28" t="e">
        <f t="shared" si="40"/>
        <v>#DIV/0!</v>
      </c>
      <c r="B257" s="28" t="e">
        <f>(EXP(((LN(A257)-$T$20)^2)/(-2*($T$21^2))))/(A257*$T$21*SQRT(2*PI()))</f>
        <v>#DIV/0!</v>
      </c>
    </row>
    <row r="258" spans="1:50">
      <c r="A258" s="28" t="e">
        <f t="shared" si="40"/>
        <v>#DIV/0!</v>
      </c>
      <c r="B258" s="28" t="e">
        <f>(EXP(((LN(A258)-$T$20)^2)/(-2*($T$21^2))))/(A258*$T$21*SQRT(2*PI()))</f>
        <v>#DIV/0!</v>
      </c>
    </row>
    <row r="259" spans="1:50">
      <c r="A259" s="28" t="e">
        <f t="shared" si="40"/>
        <v>#DIV/0!</v>
      </c>
      <c r="B259" s="28" t="e">
        <f>(EXP(((LN(A259)-$T$20)^2)/(-2*($T$21^2))))/(A259*$T$21*SQRT(2*PI()))</f>
        <v>#DIV/0!</v>
      </c>
    </row>
    <row r="260" spans="1:50">
      <c r="A260" s="28" t="e">
        <f t="shared" si="40"/>
        <v>#DIV/0!</v>
      </c>
      <c r="B260" s="28" t="e">
        <f>(EXP(((LN(A260)-$T$20)^2)/(-2*($T$21^2))))/(A260*$T$21*SQRT(2*PI()))</f>
        <v>#DIV/0!</v>
      </c>
    </row>
    <row r="271" spans="1:50">
      <c r="A271" s="28" t="s">
        <v>226</v>
      </c>
    </row>
    <row r="272" spans="1:50">
      <c r="B272" s="28">
        <v>2</v>
      </c>
      <c r="C272" s="29">
        <v>3</v>
      </c>
      <c r="D272" s="29">
        <v>4</v>
      </c>
      <c r="E272" s="29">
        <v>5</v>
      </c>
      <c r="F272" s="29">
        <v>6</v>
      </c>
      <c r="G272" s="29">
        <v>7</v>
      </c>
      <c r="H272" s="29">
        <v>8</v>
      </c>
      <c r="I272" s="29">
        <v>9</v>
      </c>
      <c r="J272" s="29">
        <v>10</v>
      </c>
      <c r="K272" s="29">
        <v>11</v>
      </c>
      <c r="L272" s="29">
        <v>12</v>
      </c>
      <c r="M272" s="29">
        <v>13</v>
      </c>
      <c r="N272" s="29">
        <v>14</v>
      </c>
      <c r="O272" s="29">
        <v>15</v>
      </c>
      <c r="P272" s="29">
        <v>16</v>
      </c>
      <c r="Q272" s="29">
        <v>17</v>
      </c>
      <c r="R272" s="29">
        <v>18</v>
      </c>
      <c r="S272" s="30">
        <v>19</v>
      </c>
      <c r="T272" s="28">
        <v>20</v>
      </c>
      <c r="U272" s="28">
        <v>21</v>
      </c>
      <c r="V272" s="28">
        <v>22</v>
      </c>
      <c r="W272" s="28">
        <v>23</v>
      </c>
      <c r="X272" s="28">
        <v>24</v>
      </c>
      <c r="Y272" s="28">
        <v>25</v>
      </c>
      <c r="Z272" s="28">
        <v>26</v>
      </c>
      <c r="AA272" s="28">
        <v>27</v>
      </c>
      <c r="AB272" s="28">
        <v>28</v>
      </c>
      <c r="AC272" s="28">
        <v>29</v>
      </c>
      <c r="AD272" s="28">
        <v>30</v>
      </c>
      <c r="AE272" s="28">
        <v>31</v>
      </c>
      <c r="AF272" s="28">
        <v>32</v>
      </c>
      <c r="AG272" s="28">
        <v>33</v>
      </c>
      <c r="AH272" s="28">
        <v>34</v>
      </c>
      <c r="AI272" s="28">
        <v>35</v>
      </c>
      <c r="AJ272" s="28">
        <v>36</v>
      </c>
      <c r="AK272" s="28">
        <v>37</v>
      </c>
      <c r="AL272" s="28">
        <v>38</v>
      </c>
      <c r="AM272" s="28">
        <v>39</v>
      </c>
      <c r="AN272" s="28">
        <v>40</v>
      </c>
      <c r="AO272" s="28">
        <v>41</v>
      </c>
      <c r="AP272" s="28">
        <v>42</v>
      </c>
      <c r="AQ272" s="28">
        <v>43</v>
      </c>
      <c r="AR272" s="28">
        <v>44</v>
      </c>
      <c r="AS272" s="28">
        <v>45</v>
      </c>
      <c r="AT272" s="28">
        <v>46</v>
      </c>
      <c r="AU272" s="28">
        <v>47</v>
      </c>
      <c r="AV272" s="28">
        <v>48</v>
      </c>
      <c r="AW272" s="28">
        <v>49</v>
      </c>
      <c r="AX272" s="28">
        <v>50</v>
      </c>
    </row>
    <row r="273" spans="1:50">
      <c r="A273" s="28">
        <v>1</v>
      </c>
      <c r="B273" s="28">
        <v>0.70709999999999995</v>
      </c>
      <c r="C273" s="29">
        <v>0.70709999999999995</v>
      </c>
      <c r="D273" s="29">
        <v>0.68720000000000003</v>
      </c>
      <c r="E273" s="29">
        <v>0.66459999999999997</v>
      </c>
      <c r="F273" s="29">
        <v>0.6431</v>
      </c>
      <c r="G273" s="29">
        <v>0.62329999999999997</v>
      </c>
      <c r="H273" s="29">
        <v>0.60519999999999996</v>
      </c>
      <c r="I273" s="29">
        <v>0.58879999999999999</v>
      </c>
      <c r="J273" s="29">
        <v>0.57389999999999997</v>
      </c>
      <c r="K273" s="29">
        <v>0.56010000000000004</v>
      </c>
      <c r="L273" s="29">
        <v>0.54749999999999999</v>
      </c>
      <c r="M273" s="29">
        <v>0.53590000000000004</v>
      </c>
      <c r="N273" s="29">
        <v>0.52510000000000001</v>
      </c>
      <c r="O273" s="29">
        <v>0.51500000000000001</v>
      </c>
      <c r="P273" s="29">
        <v>0.50560000000000005</v>
      </c>
      <c r="Q273" s="29">
        <v>0.49680000000000002</v>
      </c>
      <c r="R273" s="29">
        <v>0.48859999999999998</v>
      </c>
      <c r="S273" s="30">
        <v>0.48080000000000001</v>
      </c>
      <c r="T273" s="28">
        <v>0.47339999999999999</v>
      </c>
      <c r="U273" s="28">
        <v>0.46429999999999999</v>
      </c>
      <c r="V273" s="28">
        <v>0.45900000000000002</v>
      </c>
      <c r="W273" s="28">
        <v>0.45419999999999999</v>
      </c>
      <c r="X273" s="28">
        <v>0.44929999999999998</v>
      </c>
      <c r="Y273" s="28">
        <v>0.44500000000000001</v>
      </c>
      <c r="Z273" s="28">
        <v>0.44069999999999998</v>
      </c>
      <c r="AA273" s="28">
        <v>0.43659999999999999</v>
      </c>
      <c r="AB273" s="28">
        <v>0.43280000000000002</v>
      </c>
      <c r="AC273" s="28">
        <v>0.42909999999999998</v>
      </c>
      <c r="AD273" s="28">
        <v>0.4254</v>
      </c>
      <c r="AE273" s="28">
        <v>0.42199999999999999</v>
      </c>
      <c r="AF273" s="28">
        <v>0.41880000000000001</v>
      </c>
      <c r="AG273" s="28">
        <v>0.41560000000000002</v>
      </c>
      <c r="AH273" s="28">
        <v>0.41270000000000001</v>
      </c>
      <c r="AI273" s="28">
        <v>0.40960000000000002</v>
      </c>
      <c r="AJ273" s="28">
        <v>0.40679999999999999</v>
      </c>
      <c r="AK273" s="28">
        <v>0.40400000000000003</v>
      </c>
      <c r="AL273" s="28">
        <v>0.40150000000000002</v>
      </c>
      <c r="AM273" s="28">
        <v>0.39889999999999998</v>
      </c>
      <c r="AN273" s="28">
        <v>0.39639999999999997</v>
      </c>
      <c r="AO273" s="28">
        <v>0.39400000000000002</v>
      </c>
      <c r="AP273" s="28">
        <v>0.39169999999999999</v>
      </c>
      <c r="AQ273" s="28">
        <v>0.38940000000000002</v>
      </c>
      <c r="AR273" s="28">
        <v>0.38719999999999999</v>
      </c>
      <c r="AS273" s="28">
        <v>0.38500000000000001</v>
      </c>
      <c r="AT273" s="28">
        <v>0.38300000000000001</v>
      </c>
      <c r="AU273" s="28">
        <v>0.38080000000000003</v>
      </c>
      <c r="AV273" s="28">
        <v>0.37890000000000001</v>
      </c>
      <c r="AW273" s="28">
        <v>0.377</v>
      </c>
      <c r="AX273" s="28">
        <v>0.37509999999999999</v>
      </c>
    </row>
    <row r="274" spans="1:50">
      <c r="A274" s="28">
        <v>2</v>
      </c>
      <c r="C274" s="29">
        <v>0</v>
      </c>
      <c r="D274" s="29">
        <v>0.16769999999999999</v>
      </c>
      <c r="E274" s="29">
        <v>0.24129999999999999</v>
      </c>
      <c r="F274" s="29">
        <v>0.28960000000000002</v>
      </c>
      <c r="G274" s="29">
        <v>0.30309999999999998</v>
      </c>
      <c r="H274" s="29">
        <v>0.31640000000000001</v>
      </c>
      <c r="I274" s="29">
        <v>0.32440000000000002</v>
      </c>
      <c r="J274" s="29">
        <v>0.3291</v>
      </c>
      <c r="K274" s="29">
        <v>0.33150000000000002</v>
      </c>
      <c r="L274" s="29">
        <v>0.33250000000000002</v>
      </c>
      <c r="M274" s="29">
        <v>0.33250000000000002</v>
      </c>
      <c r="N274" s="29">
        <v>0.33179999999999998</v>
      </c>
      <c r="O274" s="29">
        <v>0.3306</v>
      </c>
      <c r="P274" s="29">
        <v>0.32900000000000001</v>
      </c>
      <c r="Q274" s="29">
        <v>0.32729999999999998</v>
      </c>
      <c r="R274" s="29">
        <v>0.32529999999999998</v>
      </c>
      <c r="S274" s="30">
        <v>0.32319999999999999</v>
      </c>
      <c r="T274" s="28">
        <v>0.3211</v>
      </c>
      <c r="U274" s="28">
        <v>0.31850000000000001</v>
      </c>
      <c r="V274" s="28">
        <v>0.31559999999999999</v>
      </c>
      <c r="W274" s="28">
        <v>0.31259999999999999</v>
      </c>
      <c r="X274" s="28">
        <v>0.30980000000000002</v>
      </c>
      <c r="Y274" s="28">
        <v>0.30690000000000001</v>
      </c>
      <c r="Z274" s="28">
        <v>0.30430000000000001</v>
      </c>
      <c r="AA274" s="28">
        <v>0.30180000000000001</v>
      </c>
      <c r="AB274" s="28">
        <v>0.29920000000000002</v>
      </c>
      <c r="AC274" s="28">
        <v>0.29680000000000001</v>
      </c>
      <c r="AD274" s="28">
        <v>0.2944</v>
      </c>
      <c r="AE274" s="28">
        <v>0.29210000000000003</v>
      </c>
      <c r="AF274" s="28">
        <v>0.2898</v>
      </c>
      <c r="AG274" s="28">
        <v>2876</v>
      </c>
      <c r="AH274" s="28">
        <v>0.28539999999999999</v>
      </c>
      <c r="AI274" s="28">
        <v>0.28339999999999999</v>
      </c>
      <c r="AJ274" s="28">
        <v>0.28129999999999999</v>
      </c>
      <c r="AK274" s="28">
        <v>0.27939999999999998</v>
      </c>
      <c r="AL274" s="28">
        <v>0.27739999999999998</v>
      </c>
      <c r="AM274" s="28">
        <v>0.27550000000000002</v>
      </c>
      <c r="AN274" s="28">
        <v>0.2737</v>
      </c>
      <c r="AO274" s="28">
        <v>0.27189999999999998</v>
      </c>
      <c r="AP274" s="28">
        <v>0.27010000000000001</v>
      </c>
      <c r="AQ274" s="28">
        <v>0.26840000000000003</v>
      </c>
      <c r="AR274" s="28">
        <v>0.26669999999999999</v>
      </c>
      <c r="AS274" s="28">
        <v>0.2651</v>
      </c>
      <c r="AT274" s="28">
        <v>0.26350000000000001</v>
      </c>
      <c r="AU274" s="28">
        <v>0.26200000000000001</v>
      </c>
      <c r="AV274" s="28">
        <v>0.26040000000000002</v>
      </c>
      <c r="AW274" s="28">
        <v>0.25890000000000002</v>
      </c>
      <c r="AX274" s="28">
        <v>0.25740000000000002</v>
      </c>
    </row>
    <row r="275" spans="1:50">
      <c r="A275" s="28">
        <v>3</v>
      </c>
      <c r="E275" s="29">
        <v>0</v>
      </c>
      <c r="F275" s="29">
        <v>8.7499999999999994E-2</v>
      </c>
      <c r="G275" s="29">
        <v>0.1401</v>
      </c>
      <c r="H275" s="29">
        <v>0.17430000000000001</v>
      </c>
      <c r="I275" s="29">
        <v>0.1976</v>
      </c>
      <c r="J275" s="29">
        <v>0.21410000000000001</v>
      </c>
      <c r="K275" s="29">
        <v>0.22600000000000001</v>
      </c>
      <c r="L275" s="29">
        <v>0.23469999999999999</v>
      </c>
      <c r="M275" s="29">
        <v>0.2412</v>
      </c>
      <c r="N275" s="29">
        <v>0.246</v>
      </c>
      <c r="O275" s="29">
        <v>0.2495</v>
      </c>
      <c r="P275" s="29">
        <v>0.25209999999999999</v>
      </c>
      <c r="Q275" s="29">
        <v>0.254</v>
      </c>
      <c r="R275" s="29">
        <v>0.25530000000000003</v>
      </c>
      <c r="S275" s="30">
        <v>0.25609999999999999</v>
      </c>
      <c r="T275" s="28">
        <v>0.25650000000000001</v>
      </c>
      <c r="U275" s="28">
        <v>0.25779999999999997</v>
      </c>
      <c r="V275" s="28">
        <v>0.2571</v>
      </c>
      <c r="W275" s="28">
        <v>0.25629999999999997</v>
      </c>
      <c r="X275" s="28">
        <v>0.25540000000000002</v>
      </c>
      <c r="Y275" s="28">
        <v>0.25430000000000003</v>
      </c>
      <c r="Z275" s="28">
        <v>0.25330000000000003</v>
      </c>
      <c r="AA275" s="28">
        <v>0.25219999999999998</v>
      </c>
      <c r="AB275" s="28">
        <v>0.251</v>
      </c>
      <c r="AC275" s="28">
        <v>0.24990000000000001</v>
      </c>
      <c r="AD275" s="28">
        <v>0.2487</v>
      </c>
      <c r="AE275" s="28">
        <v>0.2475</v>
      </c>
      <c r="AF275" s="28">
        <v>0.2462</v>
      </c>
      <c r="AG275" s="28">
        <v>0.24510000000000001</v>
      </c>
      <c r="AH275" s="28">
        <v>0.24390000000000001</v>
      </c>
      <c r="AI275" s="28">
        <v>0.2427</v>
      </c>
      <c r="AJ275" s="28">
        <v>0.24149999999999999</v>
      </c>
      <c r="AK275" s="28">
        <v>0.24030000000000001</v>
      </c>
      <c r="AL275" s="28">
        <v>0.23910000000000001</v>
      </c>
      <c r="AM275" s="28">
        <v>0.23799999999999999</v>
      </c>
      <c r="AN275" s="28">
        <v>0.23680000000000001</v>
      </c>
      <c r="AO275" s="28">
        <v>0.23569999999999999</v>
      </c>
      <c r="AP275" s="28">
        <v>0.23449999999999999</v>
      </c>
      <c r="AQ275" s="28">
        <v>0.2334</v>
      </c>
      <c r="AR275" s="28">
        <v>0.23230000000000001</v>
      </c>
      <c r="AS275" s="28">
        <v>0.23130000000000001</v>
      </c>
      <c r="AT275" s="28">
        <v>0.23019999999999999</v>
      </c>
      <c r="AU275" s="28">
        <v>0.2291</v>
      </c>
      <c r="AV275" s="28">
        <v>0.2281</v>
      </c>
      <c r="AW275" s="28">
        <v>0.2271</v>
      </c>
      <c r="AX275" s="28">
        <v>0.22600000000000001</v>
      </c>
    </row>
    <row r="276" spans="1:50">
      <c r="A276" s="28">
        <v>4</v>
      </c>
      <c r="G276" s="29">
        <v>0</v>
      </c>
      <c r="H276" s="29">
        <v>5.6099999999999997E-2</v>
      </c>
      <c r="I276" s="29">
        <v>9.4700000000000006E-2</v>
      </c>
      <c r="J276" s="29">
        <v>0.12239999999999999</v>
      </c>
      <c r="K276" s="29">
        <v>0.1429</v>
      </c>
      <c r="L276" s="29">
        <v>0.15859999999999999</v>
      </c>
      <c r="M276" s="29">
        <v>0.17069999999999999</v>
      </c>
      <c r="N276" s="29">
        <v>0.1802</v>
      </c>
      <c r="O276" s="29">
        <v>0.18779999999999999</v>
      </c>
      <c r="P276" s="29">
        <v>0.19389999999999999</v>
      </c>
      <c r="Q276" s="29">
        <v>0.1988</v>
      </c>
      <c r="R276" s="29">
        <v>0.20269999999999999</v>
      </c>
      <c r="S276" s="30">
        <v>0.2059</v>
      </c>
      <c r="T276" s="28">
        <v>0.20849999999999999</v>
      </c>
      <c r="U276" s="28">
        <v>0.21190000000000001</v>
      </c>
      <c r="V276" s="28">
        <v>0.21310000000000001</v>
      </c>
      <c r="W276" s="28">
        <v>0.21390000000000001</v>
      </c>
      <c r="X276" s="28">
        <v>0.2145</v>
      </c>
      <c r="Y276" s="28">
        <v>0.21479999999999999</v>
      </c>
      <c r="Z276" s="28">
        <v>0.21510000000000001</v>
      </c>
      <c r="AA276" s="28">
        <v>0.2152</v>
      </c>
      <c r="AB276" s="28">
        <v>0.21510000000000001</v>
      </c>
      <c r="AC276" s="28">
        <v>0.215</v>
      </c>
      <c r="AD276" s="28">
        <v>0.21479999999999999</v>
      </c>
      <c r="AE276" s="28">
        <v>0.2145</v>
      </c>
      <c r="AF276" s="28">
        <v>0.21410000000000001</v>
      </c>
      <c r="AG276" s="28">
        <v>0.2137</v>
      </c>
      <c r="AH276" s="28">
        <v>0.2132</v>
      </c>
      <c r="AI276" s="28">
        <v>0.2127</v>
      </c>
      <c r="AJ276" s="28">
        <v>0.21210000000000001</v>
      </c>
      <c r="AK276" s="28">
        <v>0.21160000000000001</v>
      </c>
      <c r="AL276" s="28">
        <v>0.21099999999999999</v>
      </c>
      <c r="AM276" s="28">
        <v>0.2104</v>
      </c>
      <c r="AN276" s="28">
        <v>0.20979999999999999</v>
      </c>
      <c r="AO276" s="28">
        <v>0.20910000000000001</v>
      </c>
      <c r="AP276" s="28">
        <v>0.20849999999999999</v>
      </c>
      <c r="AQ276" s="28">
        <v>0.20780000000000001</v>
      </c>
      <c r="AR276" s="28">
        <v>0.2072</v>
      </c>
      <c r="AS276" s="28">
        <v>0.20649999999999999</v>
      </c>
      <c r="AT276" s="28">
        <v>0.20580000000000001</v>
      </c>
      <c r="AU276" s="28">
        <v>0.20519999999999999</v>
      </c>
      <c r="AV276" s="28">
        <v>0.20449999999999999</v>
      </c>
      <c r="AW276" s="28">
        <v>0.20380000000000001</v>
      </c>
      <c r="AX276" s="28">
        <v>0.20319999999999999</v>
      </c>
    </row>
    <row r="277" spans="1:50">
      <c r="A277" s="28">
        <v>5</v>
      </c>
      <c r="I277" s="29">
        <v>0</v>
      </c>
      <c r="J277" s="29">
        <v>3.9899999999999998E-2</v>
      </c>
      <c r="K277" s="29">
        <v>6.9500000000000006E-2</v>
      </c>
      <c r="L277" s="29">
        <v>9.2200000000000004E-2</v>
      </c>
      <c r="M277" s="29">
        <v>0.1099</v>
      </c>
      <c r="N277" s="29">
        <v>0.124</v>
      </c>
      <c r="O277" s="29">
        <v>0.1353</v>
      </c>
      <c r="P277" s="29">
        <v>0.1447</v>
      </c>
      <c r="Q277" s="29">
        <v>0.15240000000000001</v>
      </c>
      <c r="R277" s="29">
        <v>0.15870000000000001</v>
      </c>
      <c r="S277" s="30">
        <v>0.1641</v>
      </c>
      <c r="T277" s="28">
        <v>0.1686</v>
      </c>
      <c r="U277" s="28">
        <v>0.1736</v>
      </c>
      <c r="V277" s="28">
        <v>0.1764</v>
      </c>
      <c r="W277" s="28">
        <v>0.1787</v>
      </c>
      <c r="X277" s="28">
        <v>0.1807</v>
      </c>
      <c r="Y277" s="28">
        <v>0.1822</v>
      </c>
      <c r="Z277" s="28">
        <v>0.18360000000000001</v>
      </c>
      <c r="AA277" s="28">
        <v>0.18479999999999999</v>
      </c>
      <c r="AB277" s="28">
        <v>0.1857</v>
      </c>
      <c r="AC277" s="28">
        <v>0.18640000000000001</v>
      </c>
      <c r="AD277" s="28">
        <v>0.187</v>
      </c>
      <c r="AE277" s="28">
        <v>0.18740000000000001</v>
      </c>
      <c r="AF277" s="28">
        <v>0.18779999999999999</v>
      </c>
      <c r="AG277" s="28">
        <v>0.188</v>
      </c>
      <c r="AH277" s="28">
        <v>0.18820000000000001</v>
      </c>
      <c r="AI277" s="28">
        <v>0.1883</v>
      </c>
      <c r="AJ277" s="28">
        <v>0.1883</v>
      </c>
      <c r="AK277" s="28">
        <v>0.1883</v>
      </c>
      <c r="AL277" s="28">
        <v>0.18809999999999999</v>
      </c>
      <c r="AM277" s="28">
        <v>0.188</v>
      </c>
      <c r="AN277" s="28">
        <v>0.18779999999999999</v>
      </c>
      <c r="AO277" s="28">
        <v>0.18759999999999999</v>
      </c>
      <c r="AP277" s="28">
        <v>0.18740000000000001</v>
      </c>
      <c r="AQ277" s="28">
        <v>0.18709999999999999</v>
      </c>
      <c r="AR277" s="28">
        <v>0.18679999999999999</v>
      </c>
      <c r="AS277" s="28">
        <v>0.1865</v>
      </c>
      <c r="AT277" s="28">
        <v>0.1862</v>
      </c>
      <c r="AU277" s="28">
        <v>0.18590000000000001</v>
      </c>
      <c r="AV277" s="28">
        <v>0.1855</v>
      </c>
      <c r="AW277" s="28">
        <v>0.18509999999999999</v>
      </c>
      <c r="AX277" s="28">
        <v>0.1847</v>
      </c>
    </row>
    <row r="278" spans="1:50">
      <c r="A278" s="28">
        <v>6</v>
      </c>
      <c r="K278" s="29">
        <v>0</v>
      </c>
      <c r="L278" s="29">
        <v>3.0300000000000001E-2</v>
      </c>
      <c r="M278" s="29">
        <v>5.3900000000000003E-2</v>
      </c>
      <c r="N278" s="29">
        <v>7.2700000000000001E-2</v>
      </c>
      <c r="O278" s="29">
        <v>8.7999999999999995E-2</v>
      </c>
      <c r="P278" s="29">
        <v>0.10050000000000001</v>
      </c>
      <c r="Q278" s="29">
        <v>0.1109</v>
      </c>
      <c r="R278" s="29">
        <v>0.1197</v>
      </c>
      <c r="S278" s="30">
        <v>0.12709999999999999</v>
      </c>
      <c r="T278" s="28">
        <v>0.13339999999999999</v>
      </c>
      <c r="U278" s="28">
        <v>0.1399</v>
      </c>
      <c r="V278" s="28">
        <v>0.14430000000000001</v>
      </c>
      <c r="W278" s="28">
        <v>0.14799999999999999</v>
      </c>
      <c r="X278" s="28">
        <v>0.1512</v>
      </c>
      <c r="Y278" s="28">
        <v>0.15390000000000001</v>
      </c>
      <c r="Z278" s="28">
        <v>0.15629999999999999</v>
      </c>
      <c r="AA278" s="28">
        <v>0.15840000000000001</v>
      </c>
      <c r="AB278" s="28">
        <v>0.16009999999999999</v>
      </c>
      <c r="AC278" s="28">
        <v>0.16159999999999999</v>
      </c>
      <c r="AD278" s="28">
        <v>0.16300000000000001</v>
      </c>
      <c r="AE278" s="28">
        <v>0.1641</v>
      </c>
      <c r="AF278" s="28">
        <v>0.1651</v>
      </c>
      <c r="AG278" s="28">
        <v>0.16600000000000001</v>
      </c>
      <c r="AH278" s="28">
        <v>0.16669999999999999</v>
      </c>
      <c r="AI278" s="28">
        <v>0.1673</v>
      </c>
      <c r="AJ278" s="28">
        <v>0.1678</v>
      </c>
      <c r="AK278" s="28">
        <v>0.16830000000000001</v>
      </c>
      <c r="AL278" s="28">
        <v>0.1686</v>
      </c>
      <c r="AM278" s="28">
        <v>0.16889999999999999</v>
      </c>
      <c r="AN278" s="28">
        <v>0.1691</v>
      </c>
      <c r="AO278" s="28">
        <v>0.16930000000000001</v>
      </c>
      <c r="AP278" s="28">
        <v>0.1694</v>
      </c>
      <c r="AQ278" s="28">
        <v>0.16950000000000001</v>
      </c>
      <c r="AR278" s="28">
        <v>0.16950000000000001</v>
      </c>
      <c r="AS278" s="28">
        <v>0.16950000000000001</v>
      </c>
      <c r="AT278" s="28">
        <v>0.16950000000000001</v>
      </c>
      <c r="AU278" s="28">
        <v>0.16950000000000001</v>
      </c>
      <c r="AV278" s="28">
        <v>0.16930000000000001</v>
      </c>
      <c r="AW278" s="28">
        <v>0.16919999999999999</v>
      </c>
      <c r="AX278" s="28">
        <v>0.1691</v>
      </c>
    </row>
    <row r="279" spans="1:50">
      <c r="A279" s="28">
        <v>7</v>
      </c>
      <c r="M279" s="29">
        <v>0</v>
      </c>
      <c r="N279" s="29">
        <v>2.4E-2</v>
      </c>
      <c r="O279" s="29">
        <v>4.3299999999999998E-2</v>
      </c>
      <c r="P279" s="29">
        <v>5.9299999999999999E-2</v>
      </c>
      <c r="Q279" s="29">
        <v>7.2499999999999995E-2</v>
      </c>
      <c r="R279" s="29">
        <v>8.3699999999999997E-2</v>
      </c>
      <c r="S279" s="30">
        <v>9.3200000000000005E-2</v>
      </c>
      <c r="T279" s="28">
        <v>0.1013</v>
      </c>
      <c r="U279" s="28">
        <v>0.10920000000000001</v>
      </c>
      <c r="V279" s="28">
        <v>0.115</v>
      </c>
      <c r="W279" s="28">
        <v>0.1201</v>
      </c>
      <c r="X279" s="28">
        <v>0.1245</v>
      </c>
      <c r="Y279" s="28">
        <v>0.1283</v>
      </c>
      <c r="Z279" s="28">
        <v>0.13159999999999999</v>
      </c>
      <c r="AA279" s="28">
        <v>0.1346</v>
      </c>
      <c r="AB279" s="28">
        <v>0.13719999999999999</v>
      </c>
      <c r="AC279" s="28">
        <v>0.13950000000000001</v>
      </c>
      <c r="AD279" s="28">
        <v>0.14149999999999999</v>
      </c>
      <c r="AE279" s="28">
        <v>0.14330000000000001</v>
      </c>
      <c r="AF279" s="28">
        <v>0.1449</v>
      </c>
      <c r="AG279" s="28">
        <v>0.14630000000000001</v>
      </c>
      <c r="AH279" s="28">
        <v>0.14749999999999999</v>
      </c>
      <c r="AI279" s="28">
        <v>0.1487</v>
      </c>
      <c r="AJ279" s="28">
        <v>0.14960000000000001</v>
      </c>
      <c r="AK279" s="28">
        <v>0.15049999999999999</v>
      </c>
      <c r="AL279" s="28">
        <v>0.15129999999999999</v>
      </c>
      <c r="AM279" s="28">
        <v>0.152</v>
      </c>
      <c r="AN279" s="28">
        <v>0.15260000000000001</v>
      </c>
      <c r="AO279" s="28">
        <v>0.15310000000000001</v>
      </c>
      <c r="AP279" s="28">
        <v>0.1535</v>
      </c>
      <c r="AQ279" s="28">
        <v>0.15390000000000001</v>
      </c>
      <c r="AR279" s="28">
        <v>0.1542</v>
      </c>
      <c r="AS279" s="28">
        <v>0.1545</v>
      </c>
      <c r="AT279" s="28">
        <v>0.15479999999999999</v>
      </c>
      <c r="AU279" s="28">
        <v>0.155</v>
      </c>
      <c r="AV279" s="28">
        <v>0.15509999999999999</v>
      </c>
      <c r="AW279" s="28">
        <v>0.15529999999999999</v>
      </c>
      <c r="AX279" s="28">
        <v>0.15540000000000001</v>
      </c>
    </row>
    <row r="280" spans="1:50">
      <c r="A280" s="28">
        <v>8</v>
      </c>
      <c r="O280" s="29">
        <v>0</v>
      </c>
      <c r="P280" s="29">
        <v>1.9599999999999999E-2</v>
      </c>
      <c r="Q280" s="29">
        <v>3.5900000000000001E-2</v>
      </c>
      <c r="R280" s="29">
        <v>4.9599999999999998E-2</v>
      </c>
      <c r="S280" s="30">
        <v>6.1199999999999997E-2</v>
      </c>
      <c r="T280" s="28">
        <v>7.1099999999999997E-2</v>
      </c>
      <c r="U280" s="28">
        <v>8.0399999999999999E-2</v>
      </c>
      <c r="V280" s="28">
        <v>8.7800000000000003E-2</v>
      </c>
      <c r="W280" s="28">
        <v>9.4100000000000003E-2</v>
      </c>
      <c r="X280" s="28">
        <v>9.9699999999999997E-2</v>
      </c>
      <c r="Y280" s="28">
        <v>0.1046</v>
      </c>
      <c r="Z280" s="28">
        <v>0.1089</v>
      </c>
      <c r="AA280" s="28">
        <v>0.1128</v>
      </c>
      <c r="AB280" s="28">
        <v>0.1162</v>
      </c>
      <c r="AC280" s="28">
        <v>0.1192</v>
      </c>
      <c r="AD280" s="28">
        <v>0.12189999999999999</v>
      </c>
      <c r="AE280" s="28">
        <v>0.12429999999999999</v>
      </c>
      <c r="AF280" s="28">
        <v>0.1265</v>
      </c>
      <c r="AG280" s="28">
        <v>0.12839999999999999</v>
      </c>
      <c r="AH280" s="28">
        <v>0.13009999999999999</v>
      </c>
      <c r="AI280" s="28">
        <v>0.13170000000000001</v>
      </c>
      <c r="AJ280" s="28">
        <v>0.1331</v>
      </c>
      <c r="AK280" s="28">
        <v>0.13439999999999999</v>
      </c>
      <c r="AL280" s="28">
        <v>0.1356</v>
      </c>
      <c r="AM280" s="28">
        <v>0.1366</v>
      </c>
      <c r="AN280" s="28">
        <v>0.1376</v>
      </c>
      <c r="AO280" s="28">
        <v>0.1384</v>
      </c>
      <c r="AP280" s="28">
        <v>0.13919999999999999</v>
      </c>
      <c r="AQ280" s="28">
        <v>0.13980000000000001</v>
      </c>
      <c r="AR280" s="28">
        <v>0.14050000000000001</v>
      </c>
      <c r="AS280" s="28">
        <v>0.14099999999999999</v>
      </c>
      <c r="AT280" s="28">
        <v>0.14149999999999999</v>
      </c>
      <c r="AU280" s="28">
        <v>0.14199999999999999</v>
      </c>
      <c r="AV280" s="28">
        <v>0.14230000000000001</v>
      </c>
      <c r="AW280" s="28">
        <v>0.14269999999999999</v>
      </c>
      <c r="AX280" s="28">
        <v>0.14299999999999999</v>
      </c>
    </row>
    <row r="281" spans="1:50">
      <c r="A281" s="28">
        <v>9</v>
      </c>
      <c r="Q281" s="29">
        <v>0</v>
      </c>
      <c r="R281" s="29">
        <v>1.6299999999999999E-2</v>
      </c>
      <c r="S281" s="30">
        <v>3.0300000000000001E-2</v>
      </c>
      <c r="T281" s="28">
        <v>4.2200000000000001E-2</v>
      </c>
      <c r="U281" s="28">
        <v>5.2999999999999999E-2</v>
      </c>
      <c r="V281" s="28">
        <v>6.1800000000000001E-2</v>
      </c>
      <c r="W281" s="28">
        <v>6.9599999999999995E-2</v>
      </c>
      <c r="X281" s="28">
        <v>7.6399999999999996E-2</v>
      </c>
      <c r="Y281" s="28">
        <v>8.2299999999999998E-2</v>
      </c>
      <c r="Z281" s="28">
        <v>8.7599999999999997E-2</v>
      </c>
      <c r="AA281" s="28">
        <v>9.2299999999999993E-2</v>
      </c>
      <c r="AB281" s="28">
        <v>9.6500000000000002E-2</v>
      </c>
      <c r="AC281" s="28">
        <v>0.1002</v>
      </c>
      <c r="AD281" s="28">
        <v>0.1036</v>
      </c>
      <c r="AE281" s="28">
        <v>0.1066</v>
      </c>
      <c r="AF281" s="28">
        <v>0.10929999999999999</v>
      </c>
      <c r="AG281" s="28">
        <v>0.1116</v>
      </c>
      <c r="AH281" s="28">
        <v>0.114</v>
      </c>
      <c r="AI281" s="28">
        <v>0.11600000000000001</v>
      </c>
      <c r="AJ281" s="28">
        <v>0.1179</v>
      </c>
      <c r="AK281" s="28">
        <v>0.1196</v>
      </c>
      <c r="AL281" s="28">
        <v>0.1211</v>
      </c>
      <c r="AM281" s="28">
        <v>0.1225</v>
      </c>
      <c r="AN281" s="28">
        <v>0.1237</v>
      </c>
      <c r="AO281" s="28">
        <v>0.1249</v>
      </c>
      <c r="AP281" s="28">
        <v>0.12590000000000001</v>
      </c>
      <c r="AQ281" s="28">
        <v>0.12690000000000001</v>
      </c>
      <c r="AR281" s="28">
        <v>0.1278</v>
      </c>
      <c r="AS281" s="28">
        <v>0.12859999999999999</v>
      </c>
      <c r="AT281" s="28">
        <v>0.1293</v>
      </c>
      <c r="AU281" s="28">
        <v>0.13</v>
      </c>
      <c r="AV281" s="28">
        <v>0.13059999999999999</v>
      </c>
      <c r="AW281" s="28">
        <v>0.13120000000000001</v>
      </c>
      <c r="AX281" s="28">
        <v>0.13170000000000001</v>
      </c>
    </row>
    <row r="282" spans="1:50">
      <c r="A282" s="28">
        <v>10</v>
      </c>
      <c r="S282" s="30">
        <v>0</v>
      </c>
      <c r="T282" s="28">
        <v>1.4E-2</v>
      </c>
      <c r="U282" s="28">
        <v>2.63E-2</v>
      </c>
      <c r="V282" s="28">
        <v>3.6799999999999999E-2</v>
      </c>
      <c r="W282" s="28">
        <v>4.5900000000000003E-2</v>
      </c>
      <c r="X282" s="28">
        <v>5.3900000000000003E-2</v>
      </c>
      <c r="Y282" s="28">
        <v>6.0999999999999999E-2</v>
      </c>
      <c r="Z282" s="28">
        <v>6.7199999999999996E-2</v>
      </c>
      <c r="AA282" s="28">
        <v>7.2800000000000004E-2</v>
      </c>
      <c r="AB282" s="28">
        <v>7.7799999999999994E-2</v>
      </c>
      <c r="AC282" s="28">
        <v>8.2199999999999995E-2</v>
      </c>
      <c r="AD282" s="28">
        <v>8.6199999999999999E-2</v>
      </c>
      <c r="AE282" s="28">
        <v>8.9899999999999994E-2</v>
      </c>
      <c r="AF282" s="28">
        <v>9.3100000000000002E-2</v>
      </c>
      <c r="AG282" s="28">
        <v>9.6100000000000005E-2</v>
      </c>
      <c r="AH282" s="28">
        <v>9.8799999999999999E-2</v>
      </c>
      <c r="AI282" s="28">
        <v>0.1013</v>
      </c>
      <c r="AJ282" s="28">
        <v>0.1036</v>
      </c>
      <c r="AK282" s="28">
        <v>0.1056</v>
      </c>
      <c r="AL282" s="28">
        <v>0.1075</v>
      </c>
      <c r="AM282" s="28">
        <v>0.10920000000000001</v>
      </c>
      <c r="AN282" s="28">
        <v>0.1108</v>
      </c>
      <c r="AO282" s="28">
        <v>0.1123</v>
      </c>
      <c r="AP282" s="28">
        <v>0.11360000000000001</v>
      </c>
      <c r="AQ282" s="28">
        <v>0.1149</v>
      </c>
      <c r="AR282" s="28">
        <v>0.11600000000000001</v>
      </c>
      <c r="AS282" s="28">
        <v>0.11700000000000001</v>
      </c>
      <c r="AT282" s="28">
        <v>0.11799999999999999</v>
      </c>
      <c r="AU282" s="28">
        <v>0.11890000000000001</v>
      </c>
      <c r="AV282" s="28">
        <v>0.1197</v>
      </c>
      <c r="AW282" s="28">
        <v>0.1205</v>
      </c>
      <c r="AX282" s="28">
        <v>0.1212</v>
      </c>
    </row>
    <row r="283" spans="1:50">
      <c r="A283" s="28">
        <v>11</v>
      </c>
      <c r="U283" s="28">
        <v>0</v>
      </c>
      <c r="V283" s="28">
        <v>1.2200000000000001E-2</v>
      </c>
      <c r="W283" s="28">
        <v>2.2800000000000001E-2</v>
      </c>
      <c r="X283" s="28">
        <v>3.2099999999999997E-2</v>
      </c>
      <c r="Y283" s="28">
        <v>4.0300000000000002E-2</v>
      </c>
      <c r="Z283" s="28">
        <v>4.7600000000000003E-2</v>
      </c>
      <c r="AA283" s="28">
        <v>5.3999999999999999E-2</v>
      </c>
      <c r="AB283" s="28">
        <v>5.9799999999999999E-2</v>
      </c>
      <c r="AC283" s="28">
        <v>6.5000000000000002E-2</v>
      </c>
      <c r="AD283" s="28">
        <v>6.9699999999999998E-2</v>
      </c>
      <c r="AE283" s="28">
        <v>7.3899999999999993E-2</v>
      </c>
      <c r="AF283" s="28">
        <v>7.7700000000000005E-2</v>
      </c>
      <c r="AG283" s="28">
        <v>8.1199999999999994E-2</v>
      </c>
      <c r="AH283" s="28">
        <v>8.4400000000000003E-2</v>
      </c>
      <c r="AI283" s="28">
        <v>8.7300000000000003E-2</v>
      </c>
      <c r="AJ283" s="28">
        <v>0.09</v>
      </c>
      <c r="AK283" s="28">
        <v>9.2399999999999996E-2</v>
      </c>
      <c r="AL283" s="28">
        <v>9.4700000000000006E-2</v>
      </c>
      <c r="AM283" s="28">
        <v>9.6699999999999994E-2</v>
      </c>
      <c r="AN283" s="28">
        <v>9.8599999999999993E-2</v>
      </c>
      <c r="AO283" s="28">
        <v>0.1004</v>
      </c>
      <c r="AP283" s="28">
        <v>0.10199999999999999</v>
      </c>
      <c r="AQ283" s="28">
        <v>0.10349999999999999</v>
      </c>
      <c r="AR283" s="28">
        <v>0.10489999999999999</v>
      </c>
      <c r="AS283" s="28">
        <v>0.1062</v>
      </c>
      <c r="AT283" s="28">
        <v>0.10730000000000001</v>
      </c>
      <c r="AU283" s="28">
        <v>0.1085</v>
      </c>
      <c r="AV283" s="28">
        <v>0.1095</v>
      </c>
      <c r="AW283" s="28">
        <v>0.1105</v>
      </c>
      <c r="AX283" s="28">
        <v>0.1113</v>
      </c>
    </row>
    <row r="284" spans="1:50">
      <c r="A284" s="28">
        <v>12</v>
      </c>
      <c r="W284" s="28">
        <v>0</v>
      </c>
      <c r="X284" s="28">
        <v>1.0699999999999999E-2</v>
      </c>
      <c r="Y284" s="28">
        <v>0.02</v>
      </c>
      <c r="Z284" s="28">
        <v>2.8400000000000002E-2</v>
      </c>
      <c r="AA284" s="28">
        <v>3.5799999999999998E-2</v>
      </c>
      <c r="AB284" s="28">
        <v>4.24E-2</v>
      </c>
      <c r="AC284" s="28">
        <v>4.8300000000000003E-2</v>
      </c>
      <c r="AD284" s="28">
        <v>5.3699999999999998E-2</v>
      </c>
      <c r="AE284" s="28">
        <v>5.8500000000000003E-2</v>
      </c>
      <c r="AF284" s="28">
        <v>6.2899999999999998E-2</v>
      </c>
      <c r="AG284" s="28">
        <v>6.6900000000000001E-2</v>
      </c>
      <c r="AH284" s="28">
        <v>7.0599999999999996E-2</v>
      </c>
      <c r="AI284" s="28">
        <v>7.3899999999999993E-2</v>
      </c>
      <c r="AJ284" s="28">
        <v>7.6999999999999999E-2</v>
      </c>
      <c r="AK284" s="28">
        <v>7.9799999999999996E-2</v>
      </c>
      <c r="AL284" s="28">
        <v>8.2400000000000001E-2</v>
      </c>
      <c r="AM284" s="28">
        <v>8.48E-2</v>
      </c>
      <c r="AN284" s="28">
        <v>8.6999999999999994E-2</v>
      </c>
      <c r="AO284" s="28">
        <v>8.9099999999999999E-2</v>
      </c>
      <c r="AP284" s="28">
        <v>9.0899999999999995E-2</v>
      </c>
      <c r="AQ284" s="28">
        <v>9.2700000000000005E-2</v>
      </c>
      <c r="AR284" s="28">
        <v>9.4299999999999995E-2</v>
      </c>
      <c r="AS284" s="28">
        <v>9.5899999999999999E-2</v>
      </c>
      <c r="AT284" s="28">
        <v>9.7199999999999995E-2</v>
      </c>
      <c r="AU284" s="28">
        <v>9.8599999999999993E-2</v>
      </c>
      <c r="AV284" s="28">
        <v>9.98E-2</v>
      </c>
      <c r="AW284" s="28">
        <v>0.10100000000000001</v>
      </c>
      <c r="AX284" s="28">
        <v>0.10199999999999999</v>
      </c>
    </row>
    <row r="285" spans="1:50">
      <c r="A285" s="28">
        <v>13</v>
      </c>
      <c r="Y285" s="28">
        <v>0</v>
      </c>
      <c r="Z285" s="28">
        <v>9.4000000000000004E-3</v>
      </c>
      <c r="AA285" s="28">
        <v>1.78E-2</v>
      </c>
      <c r="AB285" s="28">
        <v>2.53E-2</v>
      </c>
      <c r="AC285" s="28">
        <v>3.2000000000000001E-2</v>
      </c>
      <c r="AD285" s="28">
        <v>3.8100000000000002E-2</v>
      </c>
      <c r="AE285" s="28">
        <v>4.3499999999999997E-2</v>
      </c>
      <c r="AF285" s="28">
        <v>4.8500000000000001E-2</v>
      </c>
      <c r="AG285" s="28">
        <v>5.2999999999999999E-2</v>
      </c>
      <c r="AH285" s="28">
        <v>5.7200000000000001E-2</v>
      </c>
      <c r="AI285" s="28">
        <v>6.0999999999999999E-2</v>
      </c>
      <c r="AJ285" s="28">
        <v>6.4500000000000002E-2</v>
      </c>
      <c r="AK285" s="28">
        <v>6.7699999999999996E-2</v>
      </c>
      <c r="AL285" s="28">
        <v>7.0599999999999996E-2</v>
      </c>
      <c r="AM285" s="28">
        <v>7.3300000000000004E-2</v>
      </c>
      <c r="AN285" s="28">
        <v>7.5899999999999995E-2</v>
      </c>
      <c r="AO285" s="28">
        <v>7.8200000000000006E-2</v>
      </c>
      <c r="AP285" s="28">
        <v>8.0399999999999999E-2</v>
      </c>
      <c r="AQ285" s="28">
        <v>8.2400000000000001E-2</v>
      </c>
      <c r="AR285" s="28">
        <v>8.4199999999999997E-2</v>
      </c>
      <c r="AS285" s="28">
        <v>8.5999999999999993E-2</v>
      </c>
      <c r="AT285" s="28">
        <v>8.7599999999999997E-2</v>
      </c>
      <c r="AU285" s="28">
        <v>8.9200000000000002E-2</v>
      </c>
      <c r="AV285" s="28">
        <v>9.06E-2</v>
      </c>
      <c r="AW285" s="28">
        <v>9.1899999999999996E-2</v>
      </c>
      <c r="AX285" s="28">
        <v>9.3200000000000005E-2</v>
      </c>
    </row>
    <row r="286" spans="1:50">
      <c r="A286" s="28">
        <v>14</v>
      </c>
      <c r="AA286" s="28">
        <v>0</v>
      </c>
      <c r="AB286" s="28">
        <v>8.3999999999999995E-3</v>
      </c>
      <c r="AC286" s="28">
        <v>1.5900000000000001E-2</v>
      </c>
      <c r="AD286" s="28">
        <v>2.2700000000000001E-2</v>
      </c>
      <c r="AE286" s="28">
        <v>2.8899999999999999E-2</v>
      </c>
      <c r="AF286" s="28">
        <v>3.44E-2</v>
      </c>
      <c r="AG286" s="28">
        <v>3.95E-2</v>
      </c>
      <c r="AH286" s="28">
        <v>4.41E-2</v>
      </c>
      <c r="AI286" s="28">
        <v>4.8399999999999999E-2</v>
      </c>
      <c r="AJ286" s="28">
        <v>5.2299999999999999E-2</v>
      </c>
      <c r="AK286" s="28">
        <v>5.5899999999999998E-2</v>
      </c>
      <c r="AL286" s="28">
        <v>5.9200000000000003E-2</v>
      </c>
      <c r="AM286" s="28">
        <v>6.2199999999999998E-2</v>
      </c>
      <c r="AN286" s="28">
        <v>6.5100000000000005E-2</v>
      </c>
      <c r="AO286" s="28">
        <v>6.7699999999999996E-2</v>
      </c>
      <c r="AP286" s="28">
        <v>7.0099999999999996E-2</v>
      </c>
      <c r="AQ286" s="28">
        <v>7.2400000000000006E-2</v>
      </c>
      <c r="AR286" s="28">
        <v>7.4499999999999997E-2</v>
      </c>
      <c r="AS286" s="28">
        <v>7.6499999999999999E-2</v>
      </c>
      <c r="AT286" s="28">
        <v>7.8299999999999995E-2</v>
      </c>
      <c r="AU286" s="28">
        <v>8.0100000000000005E-2</v>
      </c>
      <c r="AV286" s="28">
        <v>8.1699999999999995E-2</v>
      </c>
      <c r="AW286" s="28">
        <v>8.3199999999999996E-2</v>
      </c>
      <c r="AX286" s="28">
        <v>8.4599999999999995E-2</v>
      </c>
    </row>
    <row r="287" spans="1:50">
      <c r="A287" s="28">
        <v>15</v>
      </c>
      <c r="AC287" s="28">
        <v>0</v>
      </c>
      <c r="AD287" s="28">
        <v>7.6E-3</v>
      </c>
      <c r="AE287" s="28">
        <v>1.44E-2</v>
      </c>
      <c r="AF287" s="28">
        <v>2.06E-2</v>
      </c>
      <c r="AG287" s="28">
        <v>2.6200000000000001E-2</v>
      </c>
      <c r="AH287" s="28">
        <v>3.1399999999999997E-2</v>
      </c>
      <c r="AI287" s="28">
        <v>3.61E-2</v>
      </c>
      <c r="AJ287" s="28">
        <v>4.0399999999999998E-2</v>
      </c>
      <c r="AK287" s="28">
        <v>4.4400000000000002E-2</v>
      </c>
      <c r="AL287" s="28">
        <v>4.8099999999999997E-2</v>
      </c>
      <c r="AM287" s="28">
        <v>5.1499999999999997E-2</v>
      </c>
      <c r="AN287" s="28">
        <v>5.4600000000000003E-2</v>
      </c>
      <c r="AO287" s="28">
        <v>5.7500000000000002E-2</v>
      </c>
      <c r="AP287" s="28">
        <v>6.0199999999999997E-2</v>
      </c>
      <c r="AQ287" s="28">
        <v>6.2799999999999995E-2</v>
      </c>
      <c r="AR287" s="28">
        <v>6.5100000000000005E-2</v>
      </c>
      <c r="AS287" s="28">
        <v>6.7299999999999999E-2</v>
      </c>
      <c r="AT287" s="28">
        <v>6.9400000000000003E-2</v>
      </c>
      <c r="AU287" s="28">
        <v>7.1300000000000002E-2</v>
      </c>
      <c r="AV287" s="28">
        <v>7.3099999999999998E-2</v>
      </c>
      <c r="AW287" s="28">
        <v>7.4800000000000005E-2</v>
      </c>
      <c r="AX287" s="28">
        <v>7.6399999999999996E-2</v>
      </c>
    </row>
    <row r="288" spans="1:50">
      <c r="A288" s="28">
        <v>16</v>
      </c>
      <c r="AE288" s="28">
        <v>0</v>
      </c>
      <c r="AF288" s="28">
        <v>6.7999999999999996E-3</v>
      </c>
      <c r="AG288" s="28">
        <v>1.3100000000000001E-2</v>
      </c>
      <c r="AH288" s="28">
        <v>1.8700000000000001E-2</v>
      </c>
      <c r="AI288" s="28">
        <v>2.3900000000000001E-2</v>
      </c>
      <c r="AJ288" s="28">
        <v>2.87E-2</v>
      </c>
      <c r="AK288" s="28">
        <v>3.3099999999999997E-2</v>
      </c>
      <c r="AL288" s="28">
        <v>3.7199999999999997E-2</v>
      </c>
      <c r="AM288" s="28">
        <v>4.0899999999999999E-2</v>
      </c>
      <c r="AN288" s="28">
        <v>4.4400000000000002E-2</v>
      </c>
      <c r="AO288" s="28">
        <v>4.7600000000000003E-2</v>
      </c>
      <c r="AP288" s="28">
        <v>5.0599999999999999E-2</v>
      </c>
      <c r="AQ288" s="28">
        <v>5.3400000000000003E-2</v>
      </c>
      <c r="AR288" s="28">
        <v>5.6000000000000001E-2</v>
      </c>
      <c r="AS288" s="28">
        <v>5.8400000000000001E-2</v>
      </c>
      <c r="AT288" s="28">
        <v>6.0699999999999997E-2</v>
      </c>
      <c r="AU288" s="28">
        <v>6.2799999999999995E-2</v>
      </c>
      <c r="AV288" s="28">
        <v>6.4799999999999996E-2</v>
      </c>
      <c r="AW288" s="28">
        <v>6.6699999999999995E-2</v>
      </c>
      <c r="AX288" s="28">
        <v>6.8500000000000005E-2</v>
      </c>
    </row>
    <row r="289" spans="1:50">
      <c r="A289" s="28">
        <v>17</v>
      </c>
      <c r="AG289" s="28">
        <v>0</v>
      </c>
      <c r="AH289" s="28">
        <v>6.1999999999999998E-3</v>
      </c>
      <c r="AI289" s="28">
        <v>1.1900000000000001E-2</v>
      </c>
      <c r="AJ289" s="28">
        <v>1.72E-2</v>
      </c>
      <c r="AK289" s="28">
        <v>2.1999999999999999E-2</v>
      </c>
      <c r="AL289" s="28">
        <v>2.64E-2</v>
      </c>
      <c r="AM289" s="28">
        <v>3.0499999999999999E-2</v>
      </c>
      <c r="AN289" s="28">
        <v>3.4299999999999997E-2</v>
      </c>
      <c r="AO289" s="28">
        <v>3.7900000000000003E-2</v>
      </c>
      <c r="AP289" s="28">
        <v>4.1099999999999998E-2</v>
      </c>
      <c r="AQ289" s="28">
        <v>4.4200000000000003E-2</v>
      </c>
      <c r="AR289" s="28">
        <v>4.7100000000000003E-2</v>
      </c>
      <c r="AS289" s="28">
        <v>4.9700000000000001E-2</v>
      </c>
      <c r="AT289" s="28">
        <v>5.2200000000000003E-2</v>
      </c>
      <c r="AU289" s="28">
        <v>5.4600000000000003E-2</v>
      </c>
      <c r="AV289" s="28">
        <v>5.6800000000000003E-2</v>
      </c>
      <c r="AW289" s="28">
        <v>5.8799999999999998E-2</v>
      </c>
      <c r="AX289" s="28">
        <v>6.08E-2</v>
      </c>
    </row>
    <row r="290" spans="1:50">
      <c r="A290" s="28">
        <v>18</v>
      </c>
      <c r="AI290" s="28">
        <v>0</v>
      </c>
      <c r="AJ290" s="28">
        <v>5.7000000000000002E-3</v>
      </c>
      <c r="AK290" s="28">
        <v>1.0999999999999999E-2</v>
      </c>
      <c r="AL290" s="28">
        <v>1.5800000000000002E-2</v>
      </c>
      <c r="AM290" s="28">
        <v>2.0299999999999999E-2</v>
      </c>
      <c r="AN290" s="28">
        <v>2.4400000000000002E-2</v>
      </c>
      <c r="AO290" s="28">
        <v>2.8299999999999999E-2</v>
      </c>
      <c r="AP290" s="28">
        <v>3.1800000000000002E-2</v>
      </c>
      <c r="AQ290" s="28">
        <v>3.5200000000000002E-2</v>
      </c>
      <c r="AR290" s="28">
        <v>3.8300000000000001E-2</v>
      </c>
      <c r="AS290" s="28">
        <v>4.1200000000000001E-2</v>
      </c>
      <c r="AT290" s="28">
        <v>4.3900000000000002E-2</v>
      </c>
      <c r="AU290" s="28">
        <v>4.65E-2</v>
      </c>
      <c r="AV290" s="28">
        <v>4.8899999999999999E-2</v>
      </c>
      <c r="AW290" s="28">
        <v>5.11E-2</v>
      </c>
      <c r="AX290" s="28">
        <v>5.3199999999999997E-2</v>
      </c>
    </row>
    <row r="291" spans="1:50">
      <c r="A291" s="28">
        <v>19</v>
      </c>
      <c r="AK291" s="28">
        <v>0</v>
      </c>
      <c r="AL291" s="28">
        <v>5.3E-3</v>
      </c>
      <c r="AM291" s="28">
        <v>1.01E-2</v>
      </c>
      <c r="AN291" s="28">
        <v>1.46E-2</v>
      </c>
      <c r="AO291" s="28">
        <v>1.8800000000000001E-2</v>
      </c>
      <c r="AP291" s="28">
        <v>2.2700000000000001E-2</v>
      </c>
      <c r="AQ291" s="28">
        <v>2.63E-2</v>
      </c>
      <c r="AR291" s="28">
        <v>2.9600000000000001E-2</v>
      </c>
      <c r="AS291" s="28">
        <v>3.2800000000000003E-2</v>
      </c>
      <c r="AT291" s="28">
        <v>3.5700000000000003E-2</v>
      </c>
      <c r="AU291" s="28">
        <v>3.85E-2</v>
      </c>
      <c r="AV291" s="28">
        <v>4.1099999999999998E-2</v>
      </c>
      <c r="AW291" s="28">
        <v>4.36E-2</v>
      </c>
      <c r="AX291" s="28">
        <v>4.5900000000000003E-2</v>
      </c>
    </row>
    <row r="292" spans="1:50">
      <c r="A292" s="28">
        <v>20</v>
      </c>
      <c r="AM292" s="28">
        <v>0</v>
      </c>
      <c r="AN292" s="28">
        <v>4.8999999999999998E-3</v>
      </c>
      <c r="AO292" s="28">
        <v>9.4000000000000004E-3</v>
      </c>
      <c r="AP292" s="28">
        <v>1.3599999999999999E-2</v>
      </c>
      <c r="AQ292" s="28">
        <v>1.7500000000000002E-2</v>
      </c>
      <c r="AR292" s="28">
        <v>2.1100000000000001E-2</v>
      </c>
      <c r="AS292" s="28">
        <v>2.4500000000000001E-2</v>
      </c>
      <c r="AT292" s="28">
        <v>2.7699999999999999E-2</v>
      </c>
      <c r="AU292" s="28">
        <v>3.0700000000000002E-2</v>
      </c>
      <c r="AV292" s="28">
        <v>3.3500000000000002E-2</v>
      </c>
      <c r="AW292" s="28">
        <v>3.61E-2</v>
      </c>
      <c r="AX292" s="28">
        <v>3.8600000000000002E-2</v>
      </c>
    </row>
    <row r="293" spans="1:50">
      <c r="A293" s="28">
        <v>21</v>
      </c>
      <c r="AO293" s="28">
        <v>0</v>
      </c>
      <c r="AP293" s="28">
        <v>4.4999999999999997E-3</v>
      </c>
      <c r="AQ293" s="28">
        <v>8.6999999999999994E-3</v>
      </c>
      <c r="AR293" s="28">
        <v>1.26E-2</v>
      </c>
      <c r="AS293" s="28">
        <v>1.6299999999999999E-2</v>
      </c>
      <c r="AT293" s="28">
        <v>1.9699999999999999E-2</v>
      </c>
      <c r="AU293" s="28">
        <v>2.29E-2</v>
      </c>
      <c r="AV293" s="28">
        <v>2.5899999999999999E-2</v>
      </c>
      <c r="AW293" s="28">
        <v>2.8799999999999999E-2</v>
      </c>
      <c r="AX293" s="28">
        <v>3.1399999999999997E-2</v>
      </c>
    </row>
    <row r="294" spans="1:50">
      <c r="A294" s="28">
        <v>22</v>
      </c>
      <c r="AQ294" s="28">
        <v>0</v>
      </c>
      <c r="AR294" s="28">
        <v>4.1999999999999997E-3</v>
      </c>
      <c r="AS294" s="28">
        <v>8.0999999999999996E-3</v>
      </c>
      <c r="AT294" s="28">
        <v>1.18E-2</v>
      </c>
      <c r="AU294" s="28">
        <v>1.5299999999999999E-2</v>
      </c>
      <c r="AV294" s="28">
        <v>1.8499999999999999E-2</v>
      </c>
      <c r="AW294" s="28">
        <v>2.1499999999999998E-2</v>
      </c>
      <c r="AX294" s="28">
        <v>2.4400000000000002E-2</v>
      </c>
    </row>
    <row r="295" spans="1:50">
      <c r="A295" s="28">
        <v>23</v>
      </c>
      <c r="AS295" s="28">
        <v>0</v>
      </c>
      <c r="AT295" s="28">
        <v>3.8999999999999998E-3</v>
      </c>
      <c r="AU295" s="28">
        <v>7.6E-3</v>
      </c>
      <c r="AV295" s="28">
        <v>1.11E-2</v>
      </c>
      <c r="AW295" s="28">
        <v>1.43E-2</v>
      </c>
      <c r="AX295" s="28">
        <v>1.7399999999999999E-2</v>
      </c>
    </row>
    <row r="296" spans="1:50">
      <c r="A296" s="28">
        <v>24</v>
      </c>
      <c r="AU296" s="28">
        <v>0</v>
      </c>
      <c r="AV296" s="28">
        <v>3.7000000000000002E-3</v>
      </c>
      <c r="AW296" s="28">
        <v>7.1000000000000004E-3</v>
      </c>
      <c r="AX296" s="28">
        <v>1.04E-2</v>
      </c>
    </row>
    <row r="297" spans="1:50">
      <c r="A297" s="28">
        <v>25</v>
      </c>
      <c r="AW297" s="28">
        <v>0</v>
      </c>
      <c r="AX297" s="28">
        <v>3.5000000000000001E-3</v>
      </c>
    </row>
    <row r="300" spans="1:50">
      <c r="A300" s="28" t="s">
        <v>227</v>
      </c>
    </row>
    <row r="301" spans="1:50">
      <c r="A301" s="28" t="s">
        <v>127</v>
      </c>
      <c r="B301" s="28" t="s">
        <v>228</v>
      </c>
    </row>
    <row r="302" spans="1:50">
      <c r="B302" s="28">
        <v>0.01</v>
      </c>
      <c r="C302" s="28">
        <v>0.02</v>
      </c>
      <c r="D302" s="28">
        <v>0.05</v>
      </c>
      <c r="E302" s="28">
        <v>0.1</v>
      </c>
      <c r="F302" s="28">
        <v>0.5</v>
      </c>
    </row>
    <row r="303" spans="1:50">
      <c r="C303" s="28"/>
      <c r="D303" s="28"/>
      <c r="E303" s="28"/>
      <c r="F303" s="28"/>
    </row>
    <row r="304" spans="1:50">
      <c r="A304" s="28">
        <v>3</v>
      </c>
      <c r="B304" s="28">
        <v>0.753</v>
      </c>
      <c r="C304" s="28">
        <v>0.75600000000000001</v>
      </c>
      <c r="D304" s="28">
        <v>0.76700000000000002</v>
      </c>
      <c r="E304" s="28">
        <v>0.78900000000000003</v>
      </c>
      <c r="F304" s="28">
        <v>0.95899999999999996</v>
      </c>
    </row>
    <row r="305" spans="1:6">
      <c r="A305" s="28">
        <v>4</v>
      </c>
      <c r="B305" s="28">
        <v>0.68700000000000006</v>
      </c>
      <c r="C305" s="28">
        <v>0.70699999999999996</v>
      </c>
      <c r="D305" s="28">
        <v>0.748</v>
      </c>
      <c r="E305" s="28">
        <v>0.79200000000000004</v>
      </c>
      <c r="F305" s="28">
        <v>0.93500000000000005</v>
      </c>
    </row>
    <row r="306" spans="1:6">
      <c r="A306" s="28">
        <v>5</v>
      </c>
      <c r="B306" s="28">
        <v>0.68600000000000005</v>
      </c>
      <c r="C306" s="28">
        <v>0.71499999999999997</v>
      </c>
      <c r="D306" s="28">
        <v>0.76200000000000001</v>
      </c>
      <c r="E306" s="28">
        <v>0.80600000000000005</v>
      </c>
      <c r="F306" s="28">
        <v>0.92700000000000005</v>
      </c>
    </row>
    <row r="307" spans="1:6">
      <c r="A307" s="28">
        <v>6</v>
      </c>
      <c r="B307" s="28">
        <v>0.71299999999999997</v>
      </c>
      <c r="C307" s="28">
        <v>0.74299999999999999</v>
      </c>
      <c r="D307" s="28">
        <v>0.78800000000000003</v>
      </c>
      <c r="E307" s="28">
        <v>0.82599999999999996</v>
      </c>
      <c r="F307" s="28">
        <v>0.92700000000000005</v>
      </c>
    </row>
    <row r="308" spans="1:6">
      <c r="A308" s="28">
        <v>7</v>
      </c>
      <c r="B308" s="28">
        <v>0.73</v>
      </c>
      <c r="C308" s="28">
        <v>0.76</v>
      </c>
      <c r="D308" s="28">
        <v>0.80300000000000005</v>
      </c>
      <c r="E308" s="28">
        <v>0.83799999999999997</v>
      </c>
      <c r="F308" s="28">
        <v>0.92800000000000005</v>
      </c>
    </row>
    <row r="309" spans="1:6">
      <c r="A309" s="28">
        <v>8</v>
      </c>
      <c r="B309" s="28">
        <v>0.749</v>
      </c>
      <c r="C309" s="28">
        <v>0.77800000000000002</v>
      </c>
      <c r="D309" s="28">
        <v>0.81799999999999995</v>
      </c>
      <c r="E309" s="28">
        <v>0.85099999999999998</v>
      </c>
      <c r="F309" s="28">
        <v>0.93200000000000005</v>
      </c>
    </row>
    <row r="310" spans="1:6">
      <c r="A310" s="28">
        <v>9</v>
      </c>
      <c r="B310" s="28">
        <v>0.76400000000000001</v>
      </c>
      <c r="C310" s="28">
        <v>0.79100000000000004</v>
      </c>
      <c r="D310" s="28">
        <v>0.82899999999999996</v>
      </c>
      <c r="E310" s="28">
        <v>0.85899999999999999</v>
      </c>
      <c r="F310" s="28">
        <v>0.93500000000000005</v>
      </c>
    </row>
    <row r="311" spans="1:6">
      <c r="A311" s="28">
        <v>10</v>
      </c>
      <c r="B311" s="28">
        <v>0.78100000000000003</v>
      </c>
      <c r="C311" s="28">
        <v>0.80600000000000005</v>
      </c>
      <c r="D311" s="28">
        <v>0.84199999999999997</v>
      </c>
      <c r="E311" s="28">
        <v>0.86899999999999999</v>
      </c>
      <c r="F311" s="28">
        <v>0.93799999999999994</v>
      </c>
    </row>
    <row r="312" spans="1:6">
      <c r="A312" s="28">
        <v>11</v>
      </c>
      <c r="B312" s="28">
        <v>0.79200000000000004</v>
      </c>
      <c r="C312" s="28">
        <v>0.81699999999999995</v>
      </c>
      <c r="D312" s="28">
        <v>0.85</v>
      </c>
      <c r="E312" s="28">
        <v>0.876</v>
      </c>
      <c r="F312" s="28">
        <v>0.94</v>
      </c>
    </row>
    <row r="313" spans="1:6">
      <c r="A313" s="28">
        <v>12</v>
      </c>
      <c r="B313" s="28">
        <v>0.80500000000000005</v>
      </c>
      <c r="C313" s="28">
        <v>0.82799999999999996</v>
      </c>
      <c r="D313" s="28">
        <v>0.85899999999999999</v>
      </c>
      <c r="E313" s="28">
        <v>0.88300000000000001</v>
      </c>
      <c r="F313" s="28">
        <v>0.94299999999999995</v>
      </c>
    </row>
    <row r="314" spans="1:6">
      <c r="A314" s="28">
        <v>13</v>
      </c>
      <c r="B314" s="28">
        <v>0.81399999999999995</v>
      </c>
      <c r="C314" s="28">
        <v>0.83699999999999997</v>
      </c>
      <c r="D314" s="28">
        <v>0.86599999999999999</v>
      </c>
      <c r="E314" s="28">
        <v>0.88900000000000001</v>
      </c>
      <c r="F314" s="28">
        <v>0.94499999999999995</v>
      </c>
    </row>
    <row r="315" spans="1:6">
      <c r="A315" s="28">
        <v>14</v>
      </c>
      <c r="B315" s="28">
        <v>0.82499999999999996</v>
      </c>
      <c r="C315" s="28">
        <v>0.84599999999999997</v>
      </c>
      <c r="D315" s="28">
        <v>0.874</v>
      </c>
      <c r="E315" s="28">
        <v>0.89500000000000002</v>
      </c>
      <c r="F315" s="28">
        <v>0.94699999999999995</v>
      </c>
    </row>
    <row r="316" spans="1:6">
      <c r="A316" s="28">
        <v>15</v>
      </c>
      <c r="B316" s="28">
        <v>0.83499999999999996</v>
      </c>
      <c r="C316" s="28">
        <v>0.85499999999999998</v>
      </c>
      <c r="D316" s="28">
        <v>0.88100000000000001</v>
      </c>
      <c r="E316" s="28">
        <v>0.90100000000000002</v>
      </c>
      <c r="F316" s="28">
        <v>0.95</v>
      </c>
    </row>
    <row r="317" spans="1:6">
      <c r="A317" s="28">
        <v>16</v>
      </c>
      <c r="B317" s="28">
        <v>0.84399999999999997</v>
      </c>
      <c r="C317" s="28">
        <v>0.86299999999999999</v>
      </c>
      <c r="D317" s="28">
        <v>0.88700000000000001</v>
      </c>
      <c r="E317" s="28">
        <v>0.90600000000000003</v>
      </c>
      <c r="F317" s="28">
        <v>0.95199999999999996</v>
      </c>
    </row>
    <row r="318" spans="1:6">
      <c r="A318" s="28">
        <v>17</v>
      </c>
      <c r="B318" s="28">
        <v>0.85099999999999998</v>
      </c>
      <c r="C318" s="28">
        <v>0.86899999999999999</v>
      </c>
      <c r="D318" s="28">
        <v>0.89200000000000002</v>
      </c>
      <c r="E318" s="28">
        <v>0.91</v>
      </c>
      <c r="F318" s="28">
        <v>0.95399999999999996</v>
      </c>
    </row>
    <row r="319" spans="1:6">
      <c r="A319" s="28">
        <v>18</v>
      </c>
      <c r="B319" s="28">
        <v>0.85799999999999998</v>
      </c>
      <c r="C319" s="28">
        <v>0.874</v>
      </c>
      <c r="D319" s="28">
        <v>0.89700000000000002</v>
      </c>
      <c r="E319" s="28">
        <v>0.91400000000000003</v>
      </c>
      <c r="F319" s="28">
        <v>0.95599999999999996</v>
      </c>
    </row>
    <row r="320" spans="1:6">
      <c r="A320" s="28">
        <v>19</v>
      </c>
      <c r="B320" s="28">
        <v>0.86299999999999999</v>
      </c>
      <c r="C320" s="28">
        <v>0.879</v>
      </c>
      <c r="D320" s="28">
        <v>0.90100000000000002</v>
      </c>
      <c r="E320" s="28">
        <v>0.91700000000000004</v>
      </c>
      <c r="F320" s="28">
        <v>0.95699999999999996</v>
      </c>
    </row>
    <row r="321" spans="1:6">
      <c r="A321" s="28">
        <v>20</v>
      </c>
      <c r="B321" s="28">
        <v>0.86799999999999999</v>
      </c>
      <c r="C321" s="28">
        <v>0.88400000000000001</v>
      </c>
      <c r="D321" s="28">
        <v>0.90500000000000003</v>
      </c>
      <c r="E321" s="28">
        <v>0.92</v>
      </c>
      <c r="F321" s="28">
        <v>0.95899999999999996</v>
      </c>
    </row>
    <row r="322" spans="1:6">
      <c r="A322" s="28">
        <v>21</v>
      </c>
      <c r="B322" s="28">
        <v>0.873</v>
      </c>
      <c r="C322" s="28">
        <v>0.88800000000000001</v>
      </c>
      <c r="D322" s="28">
        <v>0.90800000000000003</v>
      </c>
      <c r="E322" s="28">
        <v>0.92300000000000004</v>
      </c>
      <c r="F322" s="28">
        <v>0.96</v>
      </c>
    </row>
    <row r="323" spans="1:6">
      <c r="A323" s="28">
        <v>22</v>
      </c>
      <c r="B323" s="28">
        <v>0.878</v>
      </c>
      <c r="C323" s="28">
        <v>0.89200000000000002</v>
      </c>
      <c r="D323" s="28">
        <v>0.91100000000000003</v>
      </c>
      <c r="E323" s="28">
        <v>0.92600000000000005</v>
      </c>
      <c r="F323" s="28">
        <v>0.96099999999999997</v>
      </c>
    </row>
    <row r="324" spans="1:6">
      <c r="A324" s="28">
        <v>23</v>
      </c>
      <c r="B324" s="28">
        <v>0.88100000000000001</v>
      </c>
      <c r="C324" s="28">
        <v>0.89500000000000002</v>
      </c>
      <c r="D324" s="28">
        <v>0.91400000000000003</v>
      </c>
      <c r="E324" s="28">
        <v>0.92800000000000005</v>
      </c>
      <c r="F324" s="28">
        <v>0.96199999999999997</v>
      </c>
    </row>
    <row r="325" spans="1:6">
      <c r="A325" s="28">
        <v>24</v>
      </c>
      <c r="B325" s="28">
        <v>0.88400000000000001</v>
      </c>
      <c r="C325" s="28">
        <v>0.89800000000000002</v>
      </c>
      <c r="D325" s="28">
        <v>0.91600000000000004</v>
      </c>
      <c r="E325" s="28">
        <v>0.93</v>
      </c>
      <c r="F325" s="28">
        <v>0.96299999999999997</v>
      </c>
    </row>
    <row r="326" spans="1:6">
      <c r="A326" s="28">
        <v>25</v>
      </c>
      <c r="B326" s="28">
        <v>0.88600000000000001</v>
      </c>
      <c r="C326" s="28">
        <v>0.90100000000000002</v>
      </c>
      <c r="D326" s="28">
        <v>0.91800000000000004</v>
      </c>
      <c r="E326" s="28">
        <v>0.93100000000000005</v>
      </c>
      <c r="F326" s="28">
        <v>0.96399999999999997</v>
      </c>
    </row>
    <row r="327" spans="1:6">
      <c r="A327" s="28">
        <v>26</v>
      </c>
      <c r="B327" s="28">
        <v>0.89100000000000001</v>
      </c>
      <c r="C327" s="28">
        <v>0.90400000000000003</v>
      </c>
      <c r="D327" s="28">
        <v>0.92</v>
      </c>
      <c r="E327" s="28">
        <v>0.93300000000000005</v>
      </c>
      <c r="F327" s="28">
        <v>0.96499999999999997</v>
      </c>
    </row>
    <row r="328" spans="1:6">
      <c r="A328" s="28">
        <v>27</v>
      </c>
      <c r="B328" s="28">
        <v>0.89400000000000002</v>
      </c>
      <c r="C328" s="28">
        <v>0.90600000000000003</v>
      </c>
      <c r="D328" s="28">
        <v>0.92300000000000004</v>
      </c>
      <c r="E328" s="28">
        <v>0.93500000000000005</v>
      </c>
      <c r="F328" s="28">
        <v>0.96499999999999997</v>
      </c>
    </row>
    <row r="329" spans="1:6">
      <c r="A329" s="28">
        <v>28</v>
      </c>
      <c r="B329" s="28">
        <v>0.89600000000000002</v>
      </c>
      <c r="C329" s="28">
        <v>0.90800000000000003</v>
      </c>
      <c r="D329" s="28">
        <v>0.92400000000000004</v>
      </c>
      <c r="E329" s="28">
        <v>0.93600000000000005</v>
      </c>
      <c r="F329" s="28">
        <v>0.96599999999999997</v>
      </c>
    </row>
    <row r="330" spans="1:6">
      <c r="A330" s="28">
        <v>29</v>
      </c>
      <c r="B330" s="28">
        <v>0.89800000000000002</v>
      </c>
      <c r="C330" s="28">
        <v>0.91</v>
      </c>
      <c r="D330" s="28">
        <v>0.92600000000000005</v>
      </c>
      <c r="E330" s="28">
        <v>0.93700000000000006</v>
      </c>
      <c r="F330" s="28">
        <v>0.96599999999999997</v>
      </c>
    </row>
    <row r="331" spans="1:6">
      <c r="A331" s="28">
        <v>30</v>
      </c>
      <c r="B331" s="28">
        <v>0.9</v>
      </c>
      <c r="C331" s="28">
        <v>0.91200000000000003</v>
      </c>
      <c r="D331" s="28">
        <v>0.92700000000000005</v>
      </c>
      <c r="E331" s="28">
        <v>0.93899999999999995</v>
      </c>
      <c r="F331" s="28">
        <v>0.96699999999999997</v>
      </c>
    </row>
    <row r="332" spans="1:6">
      <c r="A332" s="28">
        <v>31</v>
      </c>
      <c r="B332" s="28">
        <v>0.90200000000000002</v>
      </c>
      <c r="C332" s="28">
        <v>0.91400000000000003</v>
      </c>
      <c r="D332" s="28">
        <v>0.92900000000000005</v>
      </c>
      <c r="E332" s="28">
        <v>0.94</v>
      </c>
      <c r="F332" s="28">
        <v>0.96699999999999997</v>
      </c>
    </row>
    <row r="333" spans="1:6">
      <c r="A333" s="28">
        <v>32</v>
      </c>
      <c r="B333" s="28">
        <v>0.90400000000000003</v>
      </c>
      <c r="C333" s="28">
        <v>0.91500000000000004</v>
      </c>
      <c r="D333" s="28">
        <v>0.93</v>
      </c>
      <c r="E333" s="28">
        <v>0.94099999999999995</v>
      </c>
      <c r="F333" s="28">
        <v>0.96799999999999997</v>
      </c>
    </row>
    <row r="334" spans="1:6">
      <c r="A334" s="28">
        <v>33</v>
      </c>
      <c r="B334" s="28">
        <v>0.90600000000000003</v>
      </c>
      <c r="C334" s="28">
        <v>0.91700000000000004</v>
      </c>
      <c r="D334" s="28">
        <v>0.93100000000000005</v>
      </c>
      <c r="E334" s="28">
        <v>0.94199999999999995</v>
      </c>
      <c r="F334" s="28">
        <v>0.96799999999999997</v>
      </c>
    </row>
    <row r="335" spans="1:6">
      <c r="A335" s="28">
        <v>34</v>
      </c>
      <c r="B335" s="28">
        <v>0.90800000000000003</v>
      </c>
      <c r="C335" s="28">
        <v>0.91900000000000004</v>
      </c>
      <c r="D335" s="28">
        <v>0.93300000000000005</v>
      </c>
      <c r="E335" s="28">
        <v>0.94299999999999995</v>
      </c>
      <c r="F335" s="28">
        <v>0.96899999999999997</v>
      </c>
    </row>
    <row r="336" spans="1:6">
      <c r="A336" s="28">
        <v>35</v>
      </c>
      <c r="B336" s="28">
        <v>0.91</v>
      </c>
      <c r="C336" s="28">
        <v>0.92</v>
      </c>
      <c r="D336" s="28">
        <v>0.93400000000000005</v>
      </c>
      <c r="E336" s="28">
        <v>0.94399999999999995</v>
      </c>
      <c r="F336" s="28">
        <v>0.96899999999999997</v>
      </c>
    </row>
    <row r="337" spans="1:6">
      <c r="A337" s="28">
        <v>36</v>
      </c>
      <c r="B337" s="28">
        <v>0.91200000000000003</v>
      </c>
      <c r="C337" s="28">
        <v>0.92200000000000004</v>
      </c>
      <c r="D337" s="28">
        <v>0.93500000000000005</v>
      </c>
      <c r="E337" s="28">
        <v>0.94499999999999995</v>
      </c>
      <c r="F337" s="28">
        <v>0.97</v>
      </c>
    </row>
    <row r="338" spans="1:6">
      <c r="A338" s="28">
        <v>37</v>
      </c>
      <c r="B338" s="28">
        <v>0.91400000000000003</v>
      </c>
      <c r="C338" s="28">
        <v>0.92400000000000004</v>
      </c>
      <c r="D338" s="28">
        <v>0.93600000000000005</v>
      </c>
      <c r="E338" s="28">
        <v>0.94599999999999995</v>
      </c>
      <c r="F338" s="28">
        <v>0.97</v>
      </c>
    </row>
    <row r="339" spans="1:6">
      <c r="A339" s="28">
        <v>38</v>
      </c>
      <c r="B339" s="28">
        <v>0.91600000000000004</v>
      </c>
      <c r="C339" s="28">
        <v>0.92500000000000004</v>
      </c>
      <c r="D339" s="28">
        <v>0.93799999999999994</v>
      </c>
      <c r="E339" s="28">
        <v>0.94699999999999995</v>
      </c>
      <c r="F339" s="28">
        <v>0.97099999999999997</v>
      </c>
    </row>
    <row r="340" spans="1:6">
      <c r="A340" s="28">
        <v>39</v>
      </c>
      <c r="B340" s="28">
        <v>0.91700000000000004</v>
      </c>
      <c r="C340" s="28">
        <v>0.92700000000000005</v>
      </c>
      <c r="D340" s="28">
        <v>0.93899999999999995</v>
      </c>
      <c r="E340" s="28">
        <v>0.94799999999999995</v>
      </c>
      <c r="F340" s="28">
        <v>0.97099999999999997</v>
      </c>
    </row>
    <row r="341" spans="1:6">
      <c r="A341" s="28">
        <v>40</v>
      </c>
      <c r="B341" s="28">
        <v>0.91900000000000004</v>
      </c>
      <c r="C341" s="28">
        <v>0.92800000000000005</v>
      </c>
      <c r="D341" s="28">
        <v>0.94</v>
      </c>
      <c r="E341" s="28">
        <v>0.94899999999999995</v>
      </c>
      <c r="F341" s="28">
        <v>0.97199999999999998</v>
      </c>
    </row>
    <row r="342" spans="1:6">
      <c r="A342" s="28">
        <v>41</v>
      </c>
      <c r="B342" s="28">
        <v>0.92</v>
      </c>
      <c r="C342" s="28">
        <v>0.92900000000000005</v>
      </c>
      <c r="D342" s="28">
        <v>0.94099999999999995</v>
      </c>
      <c r="E342" s="28">
        <v>0.95</v>
      </c>
      <c r="F342" s="28">
        <v>0.97199999999999998</v>
      </c>
    </row>
    <row r="343" spans="1:6">
      <c r="A343" s="28">
        <v>42</v>
      </c>
      <c r="B343" s="28">
        <v>0.92200000000000004</v>
      </c>
      <c r="C343" s="28">
        <v>0.93</v>
      </c>
      <c r="D343" s="28">
        <v>0.94199999999999995</v>
      </c>
      <c r="E343" s="28">
        <v>0.95099999999999996</v>
      </c>
      <c r="F343" s="28">
        <v>0.97199999999999998</v>
      </c>
    </row>
    <row r="344" spans="1:6">
      <c r="A344" s="28">
        <v>43</v>
      </c>
      <c r="B344" s="28">
        <v>0.92300000000000004</v>
      </c>
      <c r="C344" s="28">
        <v>0.93200000000000005</v>
      </c>
      <c r="D344" s="28">
        <v>0.94299999999999995</v>
      </c>
      <c r="E344" s="28">
        <v>0.95099999999999996</v>
      </c>
      <c r="F344" s="28">
        <v>0.97299999999999998</v>
      </c>
    </row>
    <row r="345" spans="1:6">
      <c r="A345" s="28">
        <v>44</v>
      </c>
      <c r="B345" s="28">
        <v>0.92400000000000004</v>
      </c>
      <c r="C345" s="28">
        <v>0.93300000000000005</v>
      </c>
      <c r="D345" s="28">
        <v>0.94399999999999995</v>
      </c>
      <c r="E345" s="28">
        <v>0.95199999999999996</v>
      </c>
      <c r="F345" s="28">
        <v>0.97299999999999998</v>
      </c>
    </row>
    <row r="346" spans="1:6">
      <c r="A346" s="28">
        <v>45</v>
      </c>
      <c r="B346" s="28">
        <v>0.92600000000000005</v>
      </c>
      <c r="C346" s="28">
        <v>0.93400000000000005</v>
      </c>
      <c r="D346" s="28">
        <v>0.94499999999999995</v>
      </c>
      <c r="E346" s="28">
        <v>0.95299999999999996</v>
      </c>
      <c r="F346" s="28">
        <v>0.97299999999999998</v>
      </c>
    </row>
    <row r="347" spans="1:6">
      <c r="A347" s="28">
        <v>46</v>
      </c>
      <c r="B347" s="28">
        <v>0.92700000000000005</v>
      </c>
      <c r="C347" s="28">
        <v>0.93500000000000005</v>
      </c>
      <c r="D347" s="28">
        <v>0.94499999999999995</v>
      </c>
      <c r="E347" s="28">
        <v>0.95299999999999996</v>
      </c>
      <c r="F347" s="28">
        <v>0.97399999999999998</v>
      </c>
    </row>
    <row r="348" spans="1:6">
      <c r="A348" s="28">
        <v>47</v>
      </c>
      <c r="B348" s="28">
        <v>0.92800000000000005</v>
      </c>
      <c r="C348" s="28">
        <v>0.93600000000000005</v>
      </c>
      <c r="D348" s="28">
        <v>0.94599999999999995</v>
      </c>
      <c r="E348" s="28">
        <v>0.95399999999999996</v>
      </c>
      <c r="F348" s="28">
        <v>0.97399999999999998</v>
      </c>
    </row>
    <row r="349" spans="1:6">
      <c r="A349" s="28">
        <v>48</v>
      </c>
      <c r="B349" s="28">
        <v>0.92900000000000005</v>
      </c>
      <c r="C349" s="28">
        <v>0.93700000000000006</v>
      </c>
      <c r="D349" s="28">
        <v>0.94699999999999995</v>
      </c>
      <c r="E349" s="28">
        <v>0.95399999999999996</v>
      </c>
      <c r="F349" s="28">
        <v>0.97399999999999998</v>
      </c>
    </row>
    <row r="350" spans="1:6">
      <c r="A350" s="28">
        <v>49</v>
      </c>
      <c r="B350" s="28">
        <v>0.92900000000000005</v>
      </c>
      <c r="C350" s="28">
        <v>0.93700000000000006</v>
      </c>
      <c r="D350" s="28">
        <v>0.94699999999999995</v>
      </c>
      <c r="E350" s="28">
        <v>0.95499999999999996</v>
      </c>
      <c r="F350" s="28">
        <v>0.97399999999999998</v>
      </c>
    </row>
    <row r="351" spans="1:6">
      <c r="A351" s="28">
        <v>50</v>
      </c>
      <c r="B351" s="28">
        <v>0.93</v>
      </c>
      <c r="C351" s="28">
        <v>0.93799999999999994</v>
      </c>
      <c r="D351" s="28">
        <v>0.94699999999999995</v>
      </c>
      <c r="E351" s="28">
        <v>0.95499999999999996</v>
      </c>
      <c r="F351" s="28">
        <v>0.97399999999999998</v>
      </c>
    </row>
    <row r="357" spans="1:8">
      <c r="A357" s="28" t="s">
        <v>229</v>
      </c>
    </row>
    <row r="359" spans="1:8">
      <c r="A359" s="28" t="s">
        <v>230</v>
      </c>
      <c r="B359" s="28" t="e">
        <f>(T13^2)*(T10-1)</f>
        <v>#DIV/0!</v>
      </c>
    </row>
    <row r="360" spans="1:8">
      <c r="A360" s="28" t="s">
        <v>231</v>
      </c>
      <c r="B360" s="28">
        <f>INT(T10/2)</f>
        <v>0</v>
      </c>
      <c r="C360" s="29" t="s">
        <v>232</v>
      </c>
    </row>
    <row r="361" spans="1:8">
      <c r="A361" s="28" t="s">
        <v>233</v>
      </c>
      <c r="B361" s="28" t="e" vm="1">
        <f>(E416^2)/B359</f>
        <v>#VALUE!</v>
      </c>
      <c r="C361" s="29" t="e" vm="2">
        <f>HLOOKUP(0.05,A302:F351,T10)</f>
        <v>#VALUE!</v>
      </c>
      <c r="D361" s="29" t="e" vm="1">
        <f>IF(B361&lt;C361,"No","Yes")</f>
        <v>#VALUE!</v>
      </c>
    </row>
    <row r="362" spans="1:8">
      <c r="A362" s="28" t="s">
        <v>234</v>
      </c>
      <c r="B362" s="28" t="e" vm="1">
        <f>(H416^2)/((T21^2)*(T10-1))</f>
        <v>#VALUE!</v>
      </c>
      <c r="C362" s="29" t="e" vm="1">
        <f>C361</f>
        <v>#VALUE!</v>
      </c>
      <c r="D362" s="29" t="e" vm="1">
        <f>IF(B362&lt;C362,"No","Yes")</f>
        <v>#VALUE!</v>
      </c>
    </row>
    <row r="364" spans="1:8">
      <c r="A364" s="28" t="s">
        <v>187</v>
      </c>
      <c r="B364" s="28" t="s">
        <v>235</v>
      </c>
      <c r="C364" s="29" t="s">
        <v>236</v>
      </c>
      <c r="D364" s="29" t="s">
        <v>237</v>
      </c>
      <c r="E364" s="29" t="s">
        <v>238</v>
      </c>
      <c r="F364" s="29" t="s">
        <v>239</v>
      </c>
      <c r="G364" s="29" t="s">
        <v>240</v>
      </c>
      <c r="H364" s="29" t="s">
        <v>241</v>
      </c>
    </row>
    <row r="365" spans="1:8">
      <c r="A365" s="28">
        <f>1</f>
        <v>1</v>
      </c>
      <c r="B365" s="28" t="e" vm="3">
        <f t="shared" ref="B365:B396" si="41">VLOOKUP(A365,$A$272:$AX$297,$T$10)</f>
        <v>#VALUE!</v>
      </c>
      <c r="C365" s="29" t="e">
        <f t="shared" ref="C365:C396" si="42">IF(A365&lt;$B$360+1,LARGE($A$10:$A$60,A365),NA())</f>
        <v>#N/A</v>
      </c>
      <c r="D365" s="29" t="e">
        <f t="shared" ref="D365:D396" si="43">IF(A365&lt;$B$360+1,SMALL($A$10:$A$60,A365),NA())</f>
        <v>#N/A</v>
      </c>
      <c r="E365" s="29" t="e" vm="1">
        <f t="shared" ref="E365:E396" si="44">IF(A365=FALSE,FALSE(),B365*(C365-D365))</f>
        <v>#VALUE!</v>
      </c>
      <c r="F365" s="29" t="e">
        <f t="shared" ref="F365:F396" si="45">LN(C365)</f>
        <v>#N/A</v>
      </c>
      <c r="G365" s="29" t="e">
        <f t="shared" ref="G365:G396" si="46">LN(D365)</f>
        <v>#N/A</v>
      </c>
      <c r="H365" s="29" t="e" vm="1">
        <f t="shared" ref="H365:H396" si="47">IF(A365=FALSE,FALSE(),B365*(F365-G365))</f>
        <v>#VALUE!</v>
      </c>
    </row>
    <row r="366" spans="1:8">
      <c r="A366" s="28" t="b">
        <f t="shared" ref="A366:A397" si="48">IF(A365&lt;$B$360,A365+1,FALSE())</f>
        <v>0</v>
      </c>
      <c r="B366" s="28" t="e">
        <f t="shared" si="41"/>
        <v>#N/A</v>
      </c>
      <c r="C366" s="29" t="e">
        <f t="shared" si="42"/>
        <v>#N/A</v>
      </c>
      <c r="D366" s="29" t="e">
        <f t="shared" si="43"/>
        <v>#N/A</v>
      </c>
      <c r="E366" s="29" t="b">
        <f t="shared" si="44"/>
        <v>0</v>
      </c>
      <c r="F366" s="29" t="e">
        <f t="shared" si="45"/>
        <v>#N/A</v>
      </c>
      <c r="G366" s="29" t="e">
        <f t="shared" si="46"/>
        <v>#N/A</v>
      </c>
      <c r="H366" s="29" t="b">
        <f t="shared" si="47"/>
        <v>0</v>
      </c>
    </row>
    <row r="367" spans="1:8">
      <c r="A367" s="28" t="b">
        <f t="shared" si="48"/>
        <v>0</v>
      </c>
      <c r="B367" s="28" t="e">
        <f t="shared" si="41"/>
        <v>#N/A</v>
      </c>
      <c r="C367" s="29" t="e">
        <f t="shared" si="42"/>
        <v>#N/A</v>
      </c>
      <c r="D367" s="29" t="e">
        <f t="shared" si="43"/>
        <v>#N/A</v>
      </c>
      <c r="E367" s="29" t="b">
        <f t="shared" si="44"/>
        <v>0</v>
      </c>
      <c r="F367" s="29" t="e">
        <f t="shared" si="45"/>
        <v>#N/A</v>
      </c>
      <c r="G367" s="29" t="e">
        <f t="shared" si="46"/>
        <v>#N/A</v>
      </c>
      <c r="H367" s="29" t="b">
        <f t="shared" si="47"/>
        <v>0</v>
      </c>
    </row>
    <row r="368" spans="1:8">
      <c r="A368" s="28" t="b">
        <f t="shared" si="48"/>
        <v>0</v>
      </c>
      <c r="B368" s="28" t="e">
        <f t="shared" si="41"/>
        <v>#N/A</v>
      </c>
      <c r="C368" s="29" t="e">
        <f t="shared" si="42"/>
        <v>#N/A</v>
      </c>
      <c r="D368" s="29" t="e">
        <f t="shared" si="43"/>
        <v>#N/A</v>
      </c>
      <c r="E368" s="29" t="b">
        <f t="shared" si="44"/>
        <v>0</v>
      </c>
      <c r="F368" s="29" t="e">
        <f t="shared" si="45"/>
        <v>#N/A</v>
      </c>
      <c r="G368" s="29" t="e">
        <f t="shared" si="46"/>
        <v>#N/A</v>
      </c>
      <c r="H368" s="29" t="b">
        <f t="shared" si="47"/>
        <v>0</v>
      </c>
    </row>
    <row r="369" spans="1:8">
      <c r="A369" s="28" t="b">
        <f t="shared" si="48"/>
        <v>0</v>
      </c>
      <c r="B369" s="28" t="e">
        <f t="shared" si="41"/>
        <v>#N/A</v>
      </c>
      <c r="C369" s="29" t="e">
        <f t="shared" si="42"/>
        <v>#N/A</v>
      </c>
      <c r="D369" s="29" t="e">
        <f t="shared" si="43"/>
        <v>#N/A</v>
      </c>
      <c r="E369" s="29" t="b">
        <f t="shared" si="44"/>
        <v>0</v>
      </c>
      <c r="F369" s="29" t="e">
        <f t="shared" si="45"/>
        <v>#N/A</v>
      </c>
      <c r="G369" s="29" t="e">
        <f t="shared" si="46"/>
        <v>#N/A</v>
      </c>
      <c r="H369" s="29" t="b">
        <f t="shared" si="47"/>
        <v>0</v>
      </c>
    </row>
    <row r="370" spans="1:8">
      <c r="A370" s="28" t="b">
        <f t="shared" si="48"/>
        <v>0</v>
      </c>
      <c r="B370" s="28" t="e">
        <f t="shared" si="41"/>
        <v>#N/A</v>
      </c>
      <c r="C370" s="29" t="e">
        <f t="shared" si="42"/>
        <v>#N/A</v>
      </c>
      <c r="D370" s="29" t="e">
        <f t="shared" si="43"/>
        <v>#N/A</v>
      </c>
      <c r="E370" s="29" t="b">
        <f t="shared" si="44"/>
        <v>0</v>
      </c>
      <c r="F370" s="29" t="e">
        <f t="shared" si="45"/>
        <v>#N/A</v>
      </c>
      <c r="G370" s="29" t="e">
        <f t="shared" si="46"/>
        <v>#N/A</v>
      </c>
      <c r="H370" s="29" t="b">
        <f t="shared" si="47"/>
        <v>0</v>
      </c>
    </row>
    <row r="371" spans="1:8">
      <c r="A371" s="28" t="b">
        <f t="shared" si="48"/>
        <v>0</v>
      </c>
      <c r="B371" s="28" t="e">
        <f t="shared" si="41"/>
        <v>#N/A</v>
      </c>
      <c r="C371" s="29" t="e">
        <f t="shared" si="42"/>
        <v>#N/A</v>
      </c>
      <c r="D371" s="29" t="e">
        <f t="shared" si="43"/>
        <v>#N/A</v>
      </c>
      <c r="E371" s="29" t="b">
        <f t="shared" si="44"/>
        <v>0</v>
      </c>
      <c r="F371" s="29" t="e">
        <f t="shared" si="45"/>
        <v>#N/A</v>
      </c>
      <c r="G371" s="29" t="e">
        <f t="shared" si="46"/>
        <v>#N/A</v>
      </c>
      <c r="H371" s="29" t="b">
        <f t="shared" si="47"/>
        <v>0</v>
      </c>
    </row>
    <row r="372" spans="1:8">
      <c r="A372" s="28" t="b">
        <f t="shared" si="48"/>
        <v>0</v>
      </c>
      <c r="B372" s="28" t="e">
        <f t="shared" si="41"/>
        <v>#N/A</v>
      </c>
      <c r="C372" s="29" t="e">
        <f t="shared" si="42"/>
        <v>#N/A</v>
      </c>
      <c r="D372" s="29" t="e">
        <f t="shared" si="43"/>
        <v>#N/A</v>
      </c>
      <c r="E372" s="29" t="b">
        <f t="shared" si="44"/>
        <v>0</v>
      </c>
      <c r="F372" s="29" t="e">
        <f t="shared" si="45"/>
        <v>#N/A</v>
      </c>
      <c r="G372" s="29" t="e">
        <f t="shared" si="46"/>
        <v>#N/A</v>
      </c>
      <c r="H372" s="29" t="b">
        <f t="shared" si="47"/>
        <v>0</v>
      </c>
    </row>
    <row r="373" spans="1:8">
      <c r="A373" s="28" t="b">
        <f t="shared" si="48"/>
        <v>0</v>
      </c>
      <c r="B373" s="28" t="e">
        <f t="shared" si="41"/>
        <v>#N/A</v>
      </c>
      <c r="C373" s="29" t="e">
        <f t="shared" si="42"/>
        <v>#N/A</v>
      </c>
      <c r="D373" s="29" t="e">
        <f t="shared" si="43"/>
        <v>#N/A</v>
      </c>
      <c r="E373" s="29" t="b">
        <f t="shared" si="44"/>
        <v>0</v>
      </c>
      <c r="F373" s="29" t="e">
        <f t="shared" si="45"/>
        <v>#N/A</v>
      </c>
      <c r="G373" s="29" t="e">
        <f t="shared" si="46"/>
        <v>#N/A</v>
      </c>
      <c r="H373" s="29" t="b">
        <f t="shared" si="47"/>
        <v>0</v>
      </c>
    </row>
    <row r="374" spans="1:8">
      <c r="A374" s="28" t="b">
        <f t="shared" si="48"/>
        <v>0</v>
      </c>
      <c r="B374" s="28" t="e">
        <f t="shared" si="41"/>
        <v>#N/A</v>
      </c>
      <c r="C374" s="29" t="e">
        <f t="shared" si="42"/>
        <v>#N/A</v>
      </c>
      <c r="D374" s="29" t="e">
        <f t="shared" si="43"/>
        <v>#N/A</v>
      </c>
      <c r="E374" s="29" t="b">
        <f t="shared" si="44"/>
        <v>0</v>
      </c>
      <c r="F374" s="29" t="e">
        <f t="shared" si="45"/>
        <v>#N/A</v>
      </c>
      <c r="G374" s="29" t="e">
        <f t="shared" si="46"/>
        <v>#N/A</v>
      </c>
      <c r="H374" s="29" t="b">
        <f t="shared" si="47"/>
        <v>0</v>
      </c>
    </row>
    <row r="375" spans="1:8">
      <c r="A375" s="28" t="b">
        <f t="shared" si="48"/>
        <v>0</v>
      </c>
      <c r="B375" s="28" t="e">
        <f t="shared" si="41"/>
        <v>#N/A</v>
      </c>
      <c r="C375" s="29" t="e">
        <f t="shared" si="42"/>
        <v>#N/A</v>
      </c>
      <c r="D375" s="29" t="e">
        <f t="shared" si="43"/>
        <v>#N/A</v>
      </c>
      <c r="E375" s="29" t="b">
        <f t="shared" si="44"/>
        <v>0</v>
      </c>
      <c r="F375" s="29" t="e">
        <f t="shared" si="45"/>
        <v>#N/A</v>
      </c>
      <c r="G375" s="29" t="e">
        <f t="shared" si="46"/>
        <v>#N/A</v>
      </c>
      <c r="H375" s="29" t="b">
        <f t="shared" si="47"/>
        <v>0</v>
      </c>
    </row>
    <row r="376" spans="1:8">
      <c r="A376" s="28" t="b">
        <f t="shared" si="48"/>
        <v>0</v>
      </c>
      <c r="B376" s="28" t="e">
        <f t="shared" si="41"/>
        <v>#N/A</v>
      </c>
      <c r="C376" s="29" t="e">
        <f t="shared" si="42"/>
        <v>#N/A</v>
      </c>
      <c r="D376" s="29" t="e">
        <f t="shared" si="43"/>
        <v>#N/A</v>
      </c>
      <c r="E376" s="29" t="b">
        <f t="shared" si="44"/>
        <v>0</v>
      </c>
      <c r="F376" s="29" t="e">
        <f t="shared" si="45"/>
        <v>#N/A</v>
      </c>
      <c r="G376" s="29" t="e">
        <f t="shared" si="46"/>
        <v>#N/A</v>
      </c>
      <c r="H376" s="29" t="b">
        <f t="shared" si="47"/>
        <v>0</v>
      </c>
    </row>
    <row r="377" spans="1:8">
      <c r="A377" s="28" t="b">
        <f t="shared" si="48"/>
        <v>0</v>
      </c>
      <c r="B377" s="28" t="e">
        <f t="shared" si="41"/>
        <v>#N/A</v>
      </c>
      <c r="C377" s="29" t="e">
        <f t="shared" si="42"/>
        <v>#N/A</v>
      </c>
      <c r="D377" s="29" t="e">
        <f t="shared" si="43"/>
        <v>#N/A</v>
      </c>
      <c r="E377" s="29" t="b">
        <f t="shared" si="44"/>
        <v>0</v>
      </c>
      <c r="F377" s="29" t="e">
        <f t="shared" si="45"/>
        <v>#N/A</v>
      </c>
      <c r="G377" s="29" t="e">
        <f t="shared" si="46"/>
        <v>#N/A</v>
      </c>
      <c r="H377" s="29" t="b">
        <f t="shared" si="47"/>
        <v>0</v>
      </c>
    </row>
    <row r="378" spans="1:8">
      <c r="A378" s="28" t="b">
        <f t="shared" si="48"/>
        <v>0</v>
      </c>
      <c r="B378" s="28" t="e">
        <f t="shared" si="41"/>
        <v>#N/A</v>
      </c>
      <c r="C378" s="29" t="e">
        <f t="shared" si="42"/>
        <v>#N/A</v>
      </c>
      <c r="D378" s="29" t="e">
        <f t="shared" si="43"/>
        <v>#N/A</v>
      </c>
      <c r="E378" s="29" t="b">
        <f t="shared" si="44"/>
        <v>0</v>
      </c>
      <c r="F378" s="29" t="e">
        <f t="shared" si="45"/>
        <v>#N/A</v>
      </c>
      <c r="G378" s="29" t="e">
        <f t="shared" si="46"/>
        <v>#N/A</v>
      </c>
      <c r="H378" s="29" t="b">
        <f t="shared" si="47"/>
        <v>0</v>
      </c>
    </row>
    <row r="379" spans="1:8">
      <c r="A379" s="28" t="b">
        <f t="shared" si="48"/>
        <v>0</v>
      </c>
      <c r="B379" s="28" t="e">
        <f t="shared" si="41"/>
        <v>#N/A</v>
      </c>
      <c r="C379" s="29" t="e">
        <f t="shared" si="42"/>
        <v>#N/A</v>
      </c>
      <c r="D379" s="29" t="e">
        <f t="shared" si="43"/>
        <v>#N/A</v>
      </c>
      <c r="E379" s="29" t="b">
        <f t="shared" si="44"/>
        <v>0</v>
      </c>
      <c r="F379" s="29" t="e">
        <f t="shared" si="45"/>
        <v>#N/A</v>
      </c>
      <c r="G379" s="29" t="e">
        <f t="shared" si="46"/>
        <v>#N/A</v>
      </c>
      <c r="H379" s="29" t="b">
        <f t="shared" si="47"/>
        <v>0</v>
      </c>
    </row>
    <row r="380" spans="1:8">
      <c r="A380" s="28" t="b">
        <f t="shared" si="48"/>
        <v>0</v>
      </c>
      <c r="B380" s="28" t="e">
        <f t="shared" si="41"/>
        <v>#N/A</v>
      </c>
      <c r="C380" s="29" t="e">
        <f t="shared" si="42"/>
        <v>#N/A</v>
      </c>
      <c r="D380" s="29" t="e">
        <f t="shared" si="43"/>
        <v>#N/A</v>
      </c>
      <c r="E380" s="29" t="b">
        <f t="shared" si="44"/>
        <v>0</v>
      </c>
      <c r="F380" s="29" t="e">
        <f t="shared" si="45"/>
        <v>#N/A</v>
      </c>
      <c r="G380" s="29" t="e">
        <f t="shared" si="46"/>
        <v>#N/A</v>
      </c>
      <c r="H380" s="29" t="b">
        <f t="shared" si="47"/>
        <v>0</v>
      </c>
    </row>
    <row r="381" spans="1:8">
      <c r="A381" s="28" t="b">
        <f t="shared" si="48"/>
        <v>0</v>
      </c>
      <c r="B381" s="28" t="e">
        <f t="shared" si="41"/>
        <v>#N/A</v>
      </c>
      <c r="C381" s="29" t="e">
        <f t="shared" si="42"/>
        <v>#N/A</v>
      </c>
      <c r="D381" s="29" t="e">
        <f t="shared" si="43"/>
        <v>#N/A</v>
      </c>
      <c r="E381" s="29" t="b">
        <f t="shared" si="44"/>
        <v>0</v>
      </c>
      <c r="F381" s="29" t="e">
        <f t="shared" si="45"/>
        <v>#N/A</v>
      </c>
      <c r="G381" s="29" t="e">
        <f t="shared" si="46"/>
        <v>#N/A</v>
      </c>
      <c r="H381" s="29" t="b">
        <f t="shared" si="47"/>
        <v>0</v>
      </c>
    </row>
    <row r="382" spans="1:8">
      <c r="A382" s="28" t="b">
        <f t="shared" si="48"/>
        <v>0</v>
      </c>
      <c r="B382" s="28" t="e">
        <f t="shared" si="41"/>
        <v>#N/A</v>
      </c>
      <c r="C382" s="29" t="e">
        <f t="shared" si="42"/>
        <v>#N/A</v>
      </c>
      <c r="D382" s="29" t="e">
        <f t="shared" si="43"/>
        <v>#N/A</v>
      </c>
      <c r="E382" s="29" t="b">
        <f t="shared" si="44"/>
        <v>0</v>
      </c>
      <c r="F382" s="29" t="e">
        <f t="shared" si="45"/>
        <v>#N/A</v>
      </c>
      <c r="G382" s="29" t="e">
        <f t="shared" si="46"/>
        <v>#N/A</v>
      </c>
      <c r="H382" s="29" t="b">
        <f t="shared" si="47"/>
        <v>0</v>
      </c>
    </row>
    <row r="383" spans="1:8">
      <c r="A383" s="28" t="b">
        <f t="shared" si="48"/>
        <v>0</v>
      </c>
      <c r="B383" s="28" t="e">
        <f t="shared" si="41"/>
        <v>#N/A</v>
      </c>
      <c r="C383" s="29" t="e">
        <f t="shared" si="42"/>
        <v>#N/A</v>
      </c>
      <c r="D383" s="29" t="e">
        <f t="shared" si="43"/>
        <v>#N/A</v>
      </c>
      <c r="E383" s="29" t="b">
        <f t="shared" si="44"/>
        <v>0</v>
      </c>
      <c r="F383" s="29" t="e">
        <f t="shared" si="45"/>
        <v>#N/A</v>
      </c>
      <c r="G383" s="29" t="e">
        <f t="shared" si="46"/>
        <v>#N/A</v>
      </c>
      <c r="H383" s="29" t="b">
        <f t="shared" si="47"/>
        <v>0</v>
      </c>
    </row>
    <row r="384" spans="1:8">
      <c r="A384" s="28" t="b">
        <f t="shared" si="48"/>
        <v>0</v>
      </c>
      <c r="B384" s="28" t="e">
        <f t="shared" si="41"/>
        <v>#N/A</v>
      </c>
      <c r="C384" s="29" t="e">
        <f t="shared" si="42"/>
        <v>#N/A</v>
      </c>
      <c r="D384" s="29" t="e">
        <f t="shared" si="43"/>
        <v>#N/A</v>
      </c>
      <c r="E384" s="29" t="b">
        <f t="shared" si="44"/>
        <v>0</v>
      </c>
      <c r="F384" s="29" t="e">
        <f t="shared" si="45"/>
        <v>#N/A</v>
      </c>
      <c r="G384" s="29" t="e">
        <f t="shared" si="46"/>
        <v>#N/A</v>
      </c>
      <c r="H384" s="29" t="b">
        <f t="shared" si="47"/>
        <v>0</v>
      </c>
    </row>
    <row r="385" spans="1:8">
      <c r="A385" s="28" t="b">
        <f t="shared" si="48"/>
        <v>0</v>
      </c>
      <c r="B385" s="28" t="e">
        <f t="shared" si="41"/>
        <v>#N/A</v>
      </c>
      <c r="C385" s="29" t="e">
        <f t="shared" si="42"/>
        <v>#N/A</v>
      </c>
      <c r="D385" s="29" t="e">
        <f t="shared" si="43"/>
        <v>#N/A</v>
      </c>
      <c r="E385" s="29" t="b">
        <f t="shared" si="44"/>
        <v>0</v>
      </c>
      <c r="F385" s="29" t="e">
        <f t="shared" si="45"/>
        <v>#N/A</v>
      </c>
      <c r="G385" s="29" t="e">
        <f t="shared" si="46"/>
        <v>#N/A</v>
      </c>
      <c r="H385" s="29" t="b">
        <f t="shared" si="47"/>
        <v>0</v>
      </c>
    </row>
    <row r="386" spans="1:8">
      <c r="A386" s="28" t="b">
        <f t="shared" si="48"/>
        <v>0</v>
      </c>
      <c r="B386" s="28" t="e">
        <f t="shared" si="41"/>
        <v>#N/A</v>
      </c>
      <c r="C386" s="29" t="e">
        <f t="shared" si="42"/>
        <v>#N/A</v>
      </c>
      <c r="D386" s="29" t="e">
        <f t="shared" si="43"/>
        <v>#N/A</v>
      </c>
      <c r="E386" s="29" t="b">
        <f t="shared" si="44"/>
        <v>0</v>
      </c>
      <c r="F386" s="29" t="e">
        <f t="shared" si="45"/>
        <v>#N/A</v>
      </c>
      <c r="G386" s="29" t="e">
        <f t="shared" si="46"/>
        <v>#N/A</v>
      </c>
      <c r="H386" s="29" t="b">
        <f t="shared" si="47"/>
        <v>0</v>
      </c>
    </row>
    <row r="387" spans="1:8">
      <c r="A387" s="28" t="b">
        <f t="shared" si="48"/>
        <v>0</v>
      </c>
      <c r="B387" s="28" t="e">
        <f t="shared" si="41"/>
        <v>#N/A</v>
      </c>
      <c r="C387" s="29" t="e">
        <f t="shared" si="42"/>
        <v>#N/A</v>
      </c>
      <c r="D387" s="29" t="e">
        <f t="shared" si="43"/>
        <v>#N/A</v>
      </c>
      <c r="E387" s="29" t="b">
        <f t="shared" si="44"/>
        <v>0</v>
      </c>
      <c r="F387" s="29" t="e">
        <f t="shared" si="45"/>
        <v>#N/A</v>
      </c>
      <c r="G387" s="29" t="e">
        <f t="shared" si="46"/>
        <v>#N/A</v>
      </c>
      <c r="H387" s="29" t="b">
        <f t="shared" si="47"/>
        <v>0</v>
      </c>
    </row>
    <row r="388" spans="1:8">
      <c r="A388" s="28" t="b">
        <f t="shared" si="48"/>
        <v>0</v>
      </c>
      <c r="B388" s="28" t="e">
        <f t="shared" si="41"/>
        <v>#N/A</v>
      </c>
      <c r="C388" s="29" t="e">
        <f t="shared" si="42"/>
        <v>#N/A</v>
      </c>
      <c r="D388" s="29" t="e">
        <f t="shared" si="43"/>
        <v>#N/A</v>
      </c>
      <c r="E388" s="29" t="b">
        <f t="shared" si="44"/>
        <v>0</v>
      </c>
      <c r="F388" s="29" t="e">
        <f t="shared" si="45"/>
        <v>#N/A</v>
      </c>
      <c r="G388" s="29" t="e">
        <f t="shared" si="46"/>
        <v>#N/A</v>
      </c>
      <c r="H388" s="29" t="b">
        <f t="shared" si="47"/>
        <v>0</v>
      </c>
    </row>
    <row r="389" spans="1:8">
      <c r="A389" s="28" t="b">
        <f t="shared" si="48"/>
        <v>0</v>
      </c>
      <c r="B389" s="28" t="e">
        <f t="shared" si="41"/>
        <v>#N/A</v>
      </c>
      <c r="C389" s="29" t="e">
        <f t="shared" si="42"/>
        <v>#N/A</v>
      </c>
      <c r="D389" s="29" t="e">
        <f t="shared" si="43"/>
        <v>#N/A</v>
      </c>
      <c r="E389" s="29" t="b">
        <f t="shared" si="44"/>
        <v>0</v>
      </c>
      <c r="F389" s="29" t="e">
        <f t="shared" si="45"/>
        <v>#N/A</v>
      </c>
      <c r="G389" s="29" t="e">
        <f t="shared" si="46"/>
        <v>#N/A</v>
      </c>
      <c r="H389" s="29" t="b">
        <f t="shared" si="47"/>
        <v>0</v>
      </c>
    </row>
    <row r="390" spans="1:8">
      <c r="A390" s="28" t="b">
        <f t="shared" si="48"/>
        <v>0</v>
      </c>
      <c r="B390" s="28" t="e">
        <f t="shared" si="41"/>
        <v>#N/A</v>
      </c>
      <c r="C390" s="29" t="e">
        <f t="shared" si="42"/>
        <v>#N/A</v>
      </c>
      <c r="D390" s="29" t="e">
        <f t="shared" si="43"/>
        <v>#N/A</v>
      </c>
      <c r="E390" s="29" t="b">
        <f t="shared" si="44"/>
        <v>0</v>
      </c>
      <c r="F390" s="29" t="e">
        <f t="shared" si="45"/>
        <v>#N/A</v>
      </c>
      <c r="G390" s="29" t="e">
        <f t="shared" si="46"/>
        <v>#N/A</v>
      </c>
      <c r="H390" s="29" t="b">
        <f t="shared" si="47"/>
        <v>0</v>
      </c>
    </row>
    <row r="391" spans="1:8">
      <c r="A391" s="28" t="b">
        <f t="shared" si="48"/>
        <v>0</v>
      </c>
      <c r="B391" s="28" t="e">
        <f t="shared" si="41"/>
        <v>#N/A</v>
      </c>
      <c r="C391" s="29" t="e">
        <f t="shared" si="42"/>
        <v>#N/A</v>
      </c>
      <c r="D391" s="29" t="e">
        <f t="shared" si="43"/>
        <v>#N/A</v>
      </c>
      <c r="E391" s="29" t="b">
        <f t="shared" si="44"/>
        <v>0</v>
      </c>
      <c r="F391" s="29" t="e">
        <f t="shared" si="45"/>
        <v>#N/A</v>
      </c>
      <c r="G391" s="29" t="e">
        <f t="shared" si="46"/>
        <v>#N/A</v>
      </c>
      <c r="H391" s="29" t="b">
        <f t="shared" si="47"/>
        <v>0</v>
      </c>
    </row>
    <row r="392" spans="1:8">
      <c r="A392" s="28" t="b">
        <f t="shared" si="48"/>
        <v>0</v>
      </c>
      <c r="B392" s="28" t="e">
        <f t="shared" si="41"/>
        <v>#N/A</v>
      </c>
      <c r="C392" s="29" t="e">
        <f t="shared" si="42"/>
        <v>#N/A</v>
      </c>
      <c r="D392" s="29" t="e">
        <f t="shared" si="43"/>
        <v>#N/A</v>
      </c>
      <c r="E392" s="29" t="b">
        <f t="shared" si="44"/>
        <v>0</v>
      </c>
      <c r="F392" s="29" t="e">
        <f t="shared" si="45"/>
        <v>#N/A</v>
      </c>
      <c r="G392" s="29" t="e">
        <f t="shared" si="46"/>
        <v>#N/A</v>
      </c>
      <c r="H392" s="29" t="b">
        <f t="shared" si="47"/>
        <v>0</v>
      </c>
    </row>
    <row r="393" spans="1:8">
      <c r="A393" s="28" t="b">
        <f t="shared" si="48"/>
        <v>0</v>
      </c>
      <c r="B393" s="28" t="e">
        <f t="shared" si="41"/>
        <v>#N/A</v>
      </c>
      <c r="C393" s="29" t="e">
        <f t="shared" si="42"/>
        <v>#N/A</v>
      </c>
      <c r="D393" s="29" t="e">
        <f t="shared" si="43"/>
        <v>#N/A</v>
      </c>
      <c r="E393" s="29" t="b">
        <f t="shared" si="44"/>
        <v>0</v>
      </c>
      <c r="F393" s="29" t="e">
        <f t="shared" si="45"/>
        <v>#N/A</v>
      </c>
      <c r="G393" s="29" t="e">
        <f t="shared" si="46"/>
        <v>#N/A</v>
      </c>
      <c r="H393" s="29" t="b">
        <f t="shared" si="47"/>
        <v>0</v>
      </c>
    </row>
    <row r="394" spans="1:8">
      <c r="A394" s="28" t="b">
        <f t="shared" si="48"/>
        <v>0</v>
      </c>
      <c r="B394" s="28" t="e">
        <f t="shared" si="41"/>
        <v>#N/A</v>
      </c>
      <c r="C394" s="29" t="e">
        <f t="shared" si="42"/>
        <v>#N/A</v>
      </c>
      <c r="D394" s="29" t="e">
        <f t="shared" si="43"/>
        <v>#N/A</v>
      </c>
      <c r="E394" s="29" t="b">
        <f t="shared" si="44"/>
        <v>0</v>
      </c>
      <c r="F394" s="29" t="e">
        <f t="shared" si="45"/>
        <v>#N/A</v>
      </c>
      <c r="G394" s="29" t="e">
        <f t="shared" si="46"/>
        <v>#N/A</v>
      </c>
      <c r="H394" s="29" t="b">
        <f t="shared" si="47"/>
        <v>0</v>
      </c>
    </row>
    <row r="395" spans="1:8">
      <c r="A395" s="28" t="b">
        <f t="shared" si="48"/>
        <v>0</v>
      </c>
      <c r="B395" s="28" t="e">
        <f t="shared" si="41"/>
        <v>#N/A</v>
      </c>
      <c r="C395" s="29" t="e">
        <f t="shared" si="42"/>
        <v>#N/A</v>
      </c>
      <c r="D395" s="29" t="e">
        <f t="shared" si="43"/>
        <v>#N/A</v>
      </c>
      <c r="E395" s="29" t="b">
        <f t="shared" si="44"/>
        <v>0</v>
      </c>
      <c r="F395" s="29" t="e">
        <f t="shared" si="45"/>
        <v>#N/A</v>
      </c>
      <c r="G395" s="29" t="e">
        <f t="shared" si="46"/>
        <v>#N/A</v>
      </c>
      <c r="H395" s="29" t="b">
        <f t="shared" si="47"/>
        <v>0</v>
      </c>
    </row>
    <row r="396" spans="1:8">
      <c r="A396" s="28" t="b">
        <f t="shared" si="48"/>
        <v>0</v>
      </c>
      <c r="B396" s="28" t="e">
        <f t="shared" si="41"/>
        <v>#N/A</v>
      </c>
      <c r="C396" s="29" t="e">
        <f t="shared" si="42"/>
        <v>#N/A</v>
      </c>
      <c r="D396" s="29" t="e">
        <f t="shared" si="43"/>
        <v>#N/A</v>
      </c>
      <c r="E396" s="29" t="b">
        <f t="shared" si="44"/>
        <v>0</v>
      </c>
      <c r="F396" s="29" t="e">
        <f t="shared" si="45"/>
        <v>#N/A</v>
      </c>
      <c r="G396" s="29" t="e">
        <f t="shared" si="46"/>
        <v>#N/A</v>
      </c>
      <c r="H396" s="29" t="b">
        <f t="shared" si="47"/>
        <v>0</v>
      </c>
    </row>
    <row r="397" spans="1:8">
      <c r="A397" s="28" t="b">
        <f t="shared" si="48"/>
        <v>0</v>
      </c>
      <c r="B397" s="28" t="e">
        <f t="shared" ref="B397:B414" si="49">VLOOKUP(A397,$A$272:$AX$297,$T$10)</f>
        <v>#N/A</v>
      </c>
      <c r="C397" s="29" t="e">
        <f t="shared" ref="C397:C414" si="50">IF(A397&lt;$B$360+1,LARGE($A$10:$A$60,A397),NA())</f>
        <v>#N/A</v>
      </c>
      <c r="D397" s="29" t="e">
        <f t="shared" ref="D397:D414" si="51">IF(A397&lt;$B$360+1,SMALL($A$10:$A$60,A397),NA())</f>
        <v>#N/A</v>
      </c>
      <c r="E397" s="29" t="b">
        <f t="shared" ref="E397:E414" si="52">IF(A397=FALSE,FALSE(),B397*(C397-D397))</f>
        <v>0</v>
      </c>
      <c r="F397" s="29" t="e">
        <f t="shared" ref="F397:F414" si="53">LN(C397)</f>
        <v>#N/A</v>
      </c>
      <c r="G397" s="29" t="e">
        <f t="shared" ref="G397:G414" si="54">LN(D397)</f>
        <v>#N/A</v>
      </c>
      <c r="H397" s="29" t="b">
        <f t="shared" ref="H397:H414" si="55">IF(A397=FALSE,FALSE(),B397*(F397-G397))</f>
        <v>0</v>
      </c>
    </row>
    <row r="398" spans="1:8">
      <c r="A398" s="28" t="b">
        <f t="shared" ref="A398:A414" si="56">IF(A397&lt;$B$360,A397+1,FALSE())</f>
        <v>0</v>
      </c>
      <c r="B398" s="28" t="e">
        <f t="shared" si="49"/>
        <v>#N/A</v>
      </c>
      <c r="C398" s="29" t="e">
        <f t="shared" si="50"/>
        <v>#N/A</v>
      </c>
      <c r="D398" s="29" t="e">
        <f t="shared" si="51"/>
        <v>#N/A</v>
      </c>
      <c r="E398" s="29" t="b">
        <f t="shared" si="52"/>
        <v>0</v>
      </c>
      <c r="F398" s="29" t="e">
        <f t="shared" si="53"/>
        <v>#N/A</v>
      </c>
      <c r="G398" s="29" t="e">
        <f t="shared" si="54"/>
        <v>#N/A</v>
      </c>
      <c r="H398" s="29" t="b">
        <f t="shared" si="55"/>
        <v>0</v>
      </c>
    </row>
    <row r="399" spans="1:8">
      <c r="A399" s="28" t="b">
        <f t="shared" si="56"/>
        <v>0</v>
      </c>
      <c r="B399" s="28" t="e">
        <f t="shared" si="49"/>
        <v>#N/A</v>
      </c>
      <c r="C399" s="29" t="e">
        <f t="shared" si="50"/>
        <v>#N/A</v>
      </c>
      <c r="D399" s="29" t="e">
        <f t="shared" si="51"/>
        <v>#N/A</v>
      </c>
      <c r="E399" s="29" t="b">
        <f t="shared" si="52"/>
        <v>0</v>
      </c>
      <c r="F399" s="29" t="e">
        <f t="shared" si="53"/>
        <v>#N/A</v>
      </c>
      <c r="G399" s="29" t="e">
        <f t="shared" si="54"/>
        <v>#N/A</v>
      </c>
      <c r="H399" s="29" t="b">
        <f t="shared" si="55"/>
        <v>0</v>
      </c>
    </row>
    <row r="400" spans="1:8">
      <c r="A400" s="28" t="b">
        <f t="shared" si="56"/>
        <v>0</v>
      </c>
      <c r="B400" s="28" t="e">
        <f t="shared" si="49"/>
        <v>#N/A</v>
      </c>
      <c r="C400" s="29" t="e">
        <f t="shared" si="50"/>
        <v>#N/A</v>
      </c>
      <c r="D400" s="29" t="e">
        <f t="shared" si="51"/>
        <v>#N/A</v>
      </c>
      <c r="E400" s="29" t="b">
        <f t="shared" si="52"/>
        <v>0</v>
      </c>
      <c r="F400" s="29" t="e">
        <f t="shared" si="53"/>
        <v>#N/A</v>
      </c>
      <c r="G400" s="29" t="e">
        <f t="shared" si="54"/>
        <v>#N/A</v>
      </c>
      <c r="H400" s="29" t="b">
        <f t="shared" si="55"/>
        <v>0</v>
      </c>
    </row>
    <row r="401" spans="1:8">
      <c r="A401" s="28" t="b">
        <f t="shared" si="56"/>
        <v>0</v>
      </c>
      <c r="B401" s="28" t="e">
        <f t="shared" si="49"/>
        <v>#N/A</v>
      </c>
      <c r="C401" s="29" t="e">
        <f t="shared" si="50"/>
        <v>#N/A</v>
      </c>
      <c r="D401" s="29" t="e">
        <f t="shared" si="51"/>
        <v>#N/A</v>
      </c>
      <c r="E401" s="29" t="b">
        <f t="shared" si="52"/>
        <v>0</v>
      </c>
      <c r="F401" s="29" t="e">
        <f t="shared" si="53"/>
        <v>#N/A</v>
      </c>
      <c r="G401" s="29" t="e">
        <f t="shared" si="54"/>
        <v>#N/A</v>
      </c>
      <c r="H401" s="29" t="b">
        <f t="shared" si="55"/>
        <v>0</v>
      </c>
    </row>
    <row r="402" spans="1:8">
      <c r="A402" s="28" t="b">
        <f t="shared" si="56"/>
        <v>0</v>
      </c>
      <c r="B402" s="28" t="e">
        <f t="shared" si="49"/>
        <v>#N/A</v>
      </c>
      <c r="C402" s="29" t="e">
        <f t="shared" si="50"/>
        <v>#N/A</v>
      </c>
      <c r="D402" s="29" t="e">
        <f t="shared" si="51"/>
        <v>#N/A</v>
      </c>
      <c r="E402" s="29" t="b">
        <f t="shared" si="52"/>
        <v>0</v>
      </c>
      <c r="F402" s="29" t="e">
        <f t="shared" si="53"/>
        <v>#N/A</v>
      </c>
      <c r="G402" s="29" t="e">
        <f t="shared" si="54"/>
        <v>#N/A</v>
      </c>
      <c r="H402" s="29" t="b">
        <f t="shared" si="55"/>
        <v>0</v>
      </c>
    </row>
    <row r="403" spans="1:8">
      <c r="A403" s="28" t="b">
        <f t="shared" si="56"/>
        <v>0</v>
      </c>
      <c r="B403" s="28" t="e">
        <f t="shared" si="49"/>
        <v>#N/A</v>
      </c>
      <c r="C403" s="29" t="e">
        <f t="shared" si="50"/>
        <v>#N/A</v>
      </c>
      <c r="D403" s="29" t="e">
        <f t="shared" si="51"/>
        <v>#N/A</v>
      </c>
      <c r="E403" s="29" t="b">
        <f t="shared" si="52"/>
        <v>0</v>
      </c>
      <c r="F403" s="29" t="e">
        <f t="shared" si="53"/>
        <v>#N/A</v>
      </c>
      <c r="G403" s="29" t="e">
        <f t="shared" si="54"/>
        <v>#N/A</v>
      </c>
      <c r="H403" s="29" t="b">
        <f t="shared" si="55"/>
        <v>0</v>
      </c>
    </row>
    <row r="404" spans="1:8">
      <c r="A404" s="28" t="b">
        <f t="shared" si="56"/>
        <v>0</v>
      </c>
      <c r="B404" s="28" t="e">
        <f t="shared" si="49"/>
        <v>#N/A</v>
      </c>
      <c r="C404" s="29" t="e">
        <f t="shared" si="50"/>
        <v>#N/A</v>
      </c>
      <c r="D404" s="29" t="e">
        <f t="shared" si="51"/>
        <v>#N/A</v>
      </c>
      <c r="E404" s="29" t="b">
        <f t="shared" si="52"/>
        <v>0</v>
      </c>
      <c r="F404" s="29" t="e">
        <f t="shared" si="53"/>
        <v>#N/A</v>
      </c>
      <c r="G404" s="29" t="e">
        <f t="shared" si="54"/>
        <v>#N/A</v>
      </c>
      <c r="H404" s="29" t="b">
        <f t="shared" si="55"/>
        <v>0</v>
      </c>
    </row>
    <row r="405" spans="1:8">
      <c r="A405" s="28" t="b">
        <f t="shared" si="56"/>
        <v>0</v>
      </c>
      <c r="B405" s="28" t="e">
        <f t="shared" si="49"/>
        <v>#N/A</v>
      </c>
      <c r="C405" s="29" t="e">
        <f t="shared" si="50"/>
        <v>#N/A</v>
      </c>
      <c r="D405" s="29" t="e">
        <f t="shared" si="51"/>
        <v>#N/A</v>
      </c>
      <c r="E405" s="29" t="b">
        <f t="shared" si="52"/>
        <v>0</v>
      </c>
      <c r="F405" s="29" t="e">
        <f t="shared" si="53"/>
        <v>#N/A</v>
      </c>
      <c r="G405" s="29" t="e">
        <f t="shared" si="54"/>
        <v>#N/A</v>
      </c>
      <c r="H405" s="29" t="b">
        <f t="shared" si="55"/>
        <v>0</v>
      </c>
    </row>
    <row r="406" spans="1:8">
      <c r="A406" s="28" t="b">
        <f t="shared" si="56"/>
        <v>0</v>
      </c>
      <c r="B406" s="28" t="e">
        <f t="shared" si="49"/>
        <v>#N/A</v>
      </c>
      <c r="C406" s="29" t="e">
        <f t="shared" si="50"/>
        <v>#N/A</v>
      </c>
      <c r="D406" s="29" t="e">
        <f t="shared" si="51"/>
        <v>#N/A</v>
      </c>
      <c r="E406" s="29" t="b">
        <f t="shared" si="52"/>
        <v>0</v>
      </c>
      <c r="F406" s="29" t="e">
        <f t="shared" si="53"/>
        <v>#N/A</v>
      </c>
      <c r="G406" s="29" t="e">
        <f t="shared" si="54"/>
        <v>#N/A</v>
      </c>
      <c r="H406" s="29" t="b">
        <f t="shared" si="55"/>
        <v>0</v>
      </c>
    </row>
    <row r="407" spans="1:8">
      <c r="A407" s="28" t="b">
        <f t="shared" si="56"/>
        <v>0</v>
      </c>
      <c r="B407" s="28" t="e">
        <f t="shared" si="49"/>
        <v>#N/A</v>
      </c>
      <c r="C407" s="29" t="e">
        <f t="shared" si="50"/>
        <v>#N/A</v>
      </c>
      <c r="D407" s="29" t="e">
        <f t="shared" si="51"/>
        <v>#N/A</v>
      </c>
      <c r="E407" s="29" t="b">
        <f t="shared" si="52"/>
        <v>0</v>
      </c>
      <c r="F407" s="29" t="e">
        <f t="shared" si="53"/>
        <v>#N/A</v>
      </c>
      <c r="G407" s="29" t="e">
        <f t="shared" si="54"/>
        <v>#N/A</v>
      </c>
      <c r="H407" s="29" t="b">
        <f t="shared" si="55"/>
        <v>0</v>
      </c>
    </row>
    <row r="408" spans="1:8">
      <c r="A408" s="28" t="b">
        <f t="shared" si="56"/>
        <v>0</v>
      </c>
      <c r="B408" s="28" t="e">
        <f t="shared" si="49"/>
        <v>#N/A</v>
      </c>
      <c r="C408" s="29" t="e">
        <f t="shared" si="50"/>
        <v>#N/A</v>
      </c>
      <c r="D408" s="29" t="e">
        <f t="shared" si="51"/>
        <v>#N/A</v>
      </c>
      <c r="E408" s="29" t="b">
        <f t="shared" si="52"/>
        <v>0</v>
      </c>
      <c r="F408" s="29" t="e">
        <f t="shared" si="53"/>
        <v>#N/A</v>
      </c>
      <c r="G408" s="29" t="e">
        <f t="shared" si="54"/>
        <v>#N/A</v>
      </c>
      <c r="H408" s="29" t="b">
        <f t="shared" si="55"/>
        <v>0</v>
      </c>
    </row>
    <row r="409" spans="1:8">
      <c r="A409" s="28" t="b">
        <f t="shared" si="56"/>
        <v>0</v>
      </c>
      <c r="B409" s="28" t="e">
        <f t="shared" si="49"/>
        <v>#N/A</v>
      </c>
      <c r="C409" s="29" t="e">
        <f t="shared" si="50"/>
        <v>#N/A</v>
      </c>
      <c r="D409" s="29" t="e">
        <f t="shared" si="51"/>
        <v>#N/A</v>
      </c>
      <c r="E409" s="29" t="b">
        <f t="shared" si="52"/>
        <v>0</v>
      </c>
      <c r="F409" s="29" t="e">
        <f t="shared" si="53"/>
        <v>#N/A</v>
      </c>
      <c r="G409" s="29" t="e">
        <f t="shared" si="54"/>
        <v>#N/A</v>
      </c>
      <c r="H409" s="29" t="b">
        <f t="shared" si="55"/>
        <v>0</v>
      </c>
    </row>
    <row r="410" spans="1:8">
      <c r="A410" s="28" t="b">
        <f t="shared" si="56"/>
        <v>0</v>
      </c>
      <c r="B410" s="28" t="e">
        <f t="shared" si="49"/>
        <v>#N/A</v>
      </c>
      <c r="C410" s="29" t="e">
        <f t="shared" si="50"/>
        <v>#N/A</v>
      </c>
      <c r="D410" s="29" t="e">
        <f t="shared" si="51"/>
        <v>#N/A</v>
      </c>
      <c r="E410" s="29" t="b">
        <f t="shared" si="52"/>
        <v>0</v>
      </c>
      <c r="F410" s="29" t="e">
        <f t="shared" si="53"/>
        <v>#N/A</v>
      </c>
      <c r="G410" s="29" t="e">
        <f t="shared" si="54"/>
        <v>#N/A</v>
      </c>
      <c r="H410" s="29" t="b">
        <f t="shared" si="55"/>
        <v>0</v>
      </c>
    </row>
    <row r="411" spans="1:8">
      <c r="A411" s="28" t="b">
        <f t="shared" si="56"/>
        <v>0</v>
      </c>
      <c r="B411" s="28" t="e">
        <f t="shared" si="49"/>
        <v>#N/A</v>
      </c>
      <c r="C411" s="29" t="e">
        <f t="shared" si="50"/>
        <v>#N/A</v>
      </c>
      <c r="D411" s="29" t="e">
        <f t="shared" si="51"/>
        <v>#N/A</v>
      </c>
      <c r="E411" s="29" t="b">
        <f t="shared" si="52"/>
        <v>0</v>
      </c>
      <c r="F411" s="29" t="e">
        <f t="shared" si="53"/>
        <v>#N/A</v>
      </c>
      <c r="G411" s="29" t="e">
        <f t="shared" si="54"/>
        <v>#N/A</v>
      </c>
      <c r="H411" s="29" t="b">
        <f t="shared" si="55"/>
        <v>0</v>
      </c>
    </row>
    <row r="412" spans="1:8">
      <c r="A412" s="28" t="b">
        <f t="shared" si="56"/>
        <v>0</v>
      </c>
      <c r="B412" s="28" t="e">
        <f t="shared" si="49"/>
        <v>#N/A</v>
      </c>
      <c r="C412" s="29" t="e">
        <f t="shared" si="50"/>
        <v>#N/A</v>
      </c>
      <c r="D412" s="29" t="e">
        <f t="shared" si="51"/>
        <v>#N/A</v>
      </c>
      <c r="E412" s="29" t="b">
        <f t="shared" si="52"/>
        <v>0</v>
      </c>
      <c r="F412" s="29" t="e">
        <f t="shared" si="53"/>
        <v>#N/A</v>
      </c>
      <c r="G412" s="29" t="e">
        <f t="shared" si="54"/>
        <v>#N/A</v>
      </c>
      <c r="H412" s="29" t="b">
        <f t="shared" si="55"/>
        <v>0</v>
      </c>
    </row>
    <row r="413" spans="1:8">
      <c r="A413" s="28" t="b">
        <f t="shared" si="56"/>
        <v>0</v>
      </c>
      <c r="B413" s="28" t="e">
        <f t="shared" si="49"/>
        <v>#N/A</v>
      </c>
      <c r="C413" s="29" t="e">
        <f t="shared" si="50"/>
        <v>#N/A</v>
      </c>
      <c r="D413" s="29" t="e">
        <f t="shared" si="51"/>
        <v>#N/A</v>
      </c>
      <c r="E413" s="29" t="b">
        <f t="shared" si="52"/>
        <v>0</v>
      </c>
      <c r="F413" s="29" t="e">
        <f t="shared" si="53"/>
        <v>#N/A</v>
      </c>
      <c r="G413" s="29" t="e">
        <f t="shared" si="54"/>
        <v>#N/A</v>
      </c>
      <c r="H413" s="29" t="b">
        <f t="shared" si="55"/>
        <v>0</v>
      </c>
    </row>
    <row r="414" spans="1:8">
      <c r="A414" s="28" t="b">
        <f t="shared" si="56"/>
        <v>0</v>
      </c>
      <c r="B414" s="28" t="e">
        <f t="shared" si="49"/>
        <v>#N/A</v>
      </c>
      <c r="C414" s="29" t="e">
        <f t="shared" si="50"/>
        <v>#N/A</v>
      </c>
      <c r="D414" s="29" t="e">
        <f t="shared" si="51"/>
        <v>#N/A</v>
      </c>
      <c r="E414" s="29" t="b">
        <f t="shared" si="52"/>
        <v>0</v>
      </c>
      <c r="F414" s="29" t="e">
        <f t="shared" si="53"/>
        <v>#N/A</v>
      </c>
      <c r="G414" s="29" t="e">
        <f t="shared" si="54"/>
        <v>#N/A</v>
      </c>
      <c r="H414" s="29" t="b">
        <f t="shared" si="55"/>
        <v>0</v>
      </c>
    </row>
    <row r="416" spans="1:8">
      <c r="D416" s="29" t="s">
        <v>242</v>
      </c>
      <c r="E416" s="29" t="e" vm="1">
        <f>SUM(E365:E414)</f>
        <v>#VALUE!</v>
      </c>
      <c r="G416" s="29" t="s">
        <v>243</v>
      </c>
      <c r="H416" s="29" t="e" vm="1">
        <f>SUM(H365:H414)</f>
        <v>#VALUE!</v>
      </c>
    </row>
  </sheetData>
  <phoneticPr fontId="10" type="noConversion"/>
  <printOptions horizontalCentered="1" verticalCentered="1"/>
  <pageMargins left="0.5" right="0.5" top="0.5" bottom="0.5" header="0.5" footer="0.5"/>
  <pageSetup scale="75" fitToWidth="3" fitToHeight="3" orientation="portrait" horizontalDpi="300" verticalDpi="300"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X416"/>
  <sheetViews>
    <sheetView zoomScale="75" workbookViewId="0">
      <selection activeCell="B7" sqref="B7"/>
    </sheetView>
  </sheetViews>
  <sheetFormatPr defaultColWidth="11.44140625" defaultRowHeight="13.2"/>
  <cols>
    <col min="1" max="1" width="11.88671875" style="28" customWidth="1"/>
    <col min="2" max="2" width="5.33203125" style="28" customWidth="1"/>
    <col min="3" max="8" width="0" style="29" hidden="1" customWidth="1"/>
    <col min="9" max="9" width="12.44140625" style="29" hidden="1" customWidth="1"/>
    <col min="10" max="10" width="8.109375" style="29" hidden="1" customWidth="1"/>
    <col min="11" max="17" width="0" style="29" hidden="1" customWidth="1"/>
    <col min="18" max="18" width="24.88671875" style="29" hidden="1" customWidth="1"/>
    <col min="19" max="19" width="21.44140625" style="30" customWidth="1"/>
    <col min="20" max="20" width="11.109375" style="28" customWidth="1"/>
    <col min="21" max="21" width="11.44140625" style="28" customWidth="1"/>
    <col min="22" max="22" width="10.5546875" style="28" customWidth="1"/>
    <col min="23" max="16384" width="11.44140625" style="28"/>
  </cols>
  <sheetData>
    <row r="1" spans="1:20" s="18" customFormat="1" ht="18">
      <c r="A1" s="17" t="s">
        <v>44</v>
      </c>
      <c r="C1" s="19"/>
      <c r="D1" s="19"/>
      <c r="E1" s="19"/>
      <c r="F1" s="19"/>
      <c r="G1" s="19"/>
      <c r="H1" s="19"/>
      <c r="I1" s="19"/>
      <c r="J1" s="19"/>
      <c r="K1" s="19"/>
      <c r="L1" s="19"/>
      <c r="M1" s="19"/>
      <c r="N1" s="19"/>
      <c r="O1" s="19"/>
      <c r="P1" s="19"/>
      <c r="Q1" s="19"/>
      <c r="R1" s="19"/>
      <c r="S1" s="20"/>
      <c r="T1" s="21"/>
    </row>
    <row r="2" spans="1:20" s="23" customFormat="1" ht="15.6">
      <c r="A2" s="22" t="s">
        <v>45</v>
      </c>
      <c r="C2" s="24"/>
      <c r="D2" s="24"/>
      <c r="E2" s="24"/>
      <c r="F2" s="24"/>
      <c r="G2" s="24"/>
      <c r="H2" s="24"/>
      <c r="I2" s="24"/>
      <c r="J2" s="24"/>
      <c r="K2" s="24"/>
      <c r="L2" s="24"/>
      <c r="M2" s="24"/>
      <c r="N2" s="24"/>
      <c r="O2" s="24"/>
      <c r="P2" s="24"/>
      <c r="Q2" s="24"/>
      <c r="R2" s="24"/>
      <c r="S2" s="25"/>
      <c r="T2" s="26"/>
    </row>
    <row r="3" spans="1:20" s="23" customFormat="1" ht="15.6">
      <c r="A3" s="22" t="s">
        <v>46</v>
      </c>
      <c r="C3" s="24"/>
      <c r="D3" s="24"/>
      <c r="E3" s="24"/>
      <c r="F3" s="24"/>
      <c r="G3" s="24"/>
      <c r="H3" s="24"/>
      <c r="I3" s="24"/>
      <c r="J3" s="24"/>
      <c r="K3" s="24"/>
      <c r="L3" s="24"/>
      <c r="M3" s="24"/>
      <c r="N3" s="24"/>
      <c r="O3" s="24"/>
      <c r="P3" s="24"/>
      <c r="Q3" s="24"/>
      <c r="R3" s="24"/>
      <c r="S3" s="25"/>
      <c r="T3" s="26"/>
    </row>
    <row r="4" spans="1:20">
      <c r="A4" s="27" t="s">
        <v>47</v>
      </c>
    </row>
    <row r="5" spans="1:20" ht="13.8" thickBot="1">
      <c r="A5" s="27"/>
    </row>
    <row r="6" spans="1:20" ht="14.4" thickTop="1" thickBot="1">
      <c r="A6" s="31" t="s">
        <v>48</v>
      </c>
      <c r="B6" s="32">
        <f>'Poeira Mineral - Respirável'!L19</f>
        <v>0</v>
      </c>
    </row>
    <row r="7" spans="1:20" ht="13.8" thickTop="1">
      <c r="A7" s="27"/>
      <c r="C7" s="28"/>
      <c r="D7" s="28"/>
      <c r="E7" s="28"/>
      <c r="F7" s="28"/>
      <c r="G7" s="28"/>
      <c r="H7" s="28"/>
      <c r="I7" s="28"/>
      <c r="J7" s="28"/>
      <c r="K7" s="28"/>
      <c r="L7" s="28"/>
      <c r="M7" s="28"/>
      <c r="N7" s="28"/>
      <c r="O7" s="28"/>
      <c r="P7" s="28"/>
      <c r="Q7" s="28"/>
      <c r="R7" s="28"/>
    </row>
    <row r="8" spans="1:20" ht="13.8" thickBot="1">
      <c r="A8" s="27"/>
      <c r="D8" s="29" t="s">
        <v>49</v>
      </c>
      <c r="F8" s="29" t="s">
        <v>50</v>
      </c>
      <c r="H8" s="29" t="s">
        <v>51</v>
      </c>
      <c r="I8" s="29" t="s">
        <v>52</v>
      </c>
    </row>
    <row r="9" spans="1:20" ht="13.8" thickTop="1">
      <c r="A9" s="33" t="s">
        <v>53</v>
      </c>
      <c r="C9" s="29" t="s">
        <v>54</v>
      </c>
      <c r="D9" s="29" t="s">
        <v>55</v>
      </c>
      <c r="E9" s="29" t="s">
        <v>56</v>
      </c>
      <c r="F9" s="29" t="s">
        <v>55</v>
      </c>
      <c r="G9" s="29" t="s">
        <v>56</v>
      </c>
      <c r="H9" s="29" t="s">
        <v>57</v>
      </c>
      <c r="I9" s="29" t="s">
        <v>58</v>
      </c>
      <c r="J9" s="29" t="s">
        <v>59</v>
      </c>
      <c r="K9" s="29" t="s">
        <v>60</v>
      </c>
      <c r="M9" s="29" t="s">
        <v>61</v>
      </c>
      <c r="N9" s="29" t="s">
        <v>62</v>
      </c>
      <c r="S9" s="34" t="s">
        <v>63</v>
      </c>
    </row>
    <row r="10" spans="1:20">
      <c r="A10" s="35" t="str">
        <f>IF('Poeira Mineral - Respirável'!M7="","",'Poeira Mineral - Respirável'!M7)</f>
        <v/>
      </c>
      <c r="C10" s="29" t="e">
        <f t="shared" ref="C10:C41" si="0">K74</f>
        <v>#VALUE!</v>
      </c>
      <c r="D10" s="36">
        <f t="shared" ref="D10:D22" si="1">$D$84</f>
        <v>0</v>
      </c>
      <c r="E10" s="29">
        <f>2.33 + 5</f>
        <v>7.33</v>
      </c>
      <c r="F10" s="29">
        <f t="shared" ref="F10:F22" si="2">CEILING($T$17,5)</f>
        <v>0</v>
      </c>
      <c r="G10" s="29">
        <f t="shared" ref="G10:G22" si="3">E10</f>
        <v>7.33</v>
      </c>
      <c r="H10" s="29" t="b">
        <f t="shared" ref="H10:H41" si="4">IF(ISNUMBER(N74),N74)</f>
        <v>0</v>
      </c>
      <c r="I10" s="29" t="b">
        <f t="shared" ref="I10:I41" si="5">IF(ISNUMBER(O74),O74)</f>
        <v>0</v>
      </c>
      <c r="J10" s="29">
        <f t="shared" ref="J10:J41" si="6">IF(A10&gt;$B$6,1,0)</f>
        <v>1</v>
      </c>
      <c r="K10" s="29" t="b">
        <f t="shared" ref="K10:K41" si="7">IF(ISNUMBER(N74),LN(N74))</f>
        <v>0</v>
      </c>
      <c r="M10" s="37" t="b">
        <f t="shared" ref="M10:M41" si="8">IF(ISNUMBER(A10),(A10-$T$11)^2)</f>
        <v>0</v>
      </c>
      <c r="N10" s="29" t="b">
        <f t="shared" ref="N10:N41" si="9">IF(ISNUMBER(K10),(K10-$T$20)^2)</f>
        <v>0</v>
      </c>
      <c r="S10" s="30" t="s">
        <v>64</v>
      </c>
      <c r="T10" s="38">
        <f>COUNT(A10:A60)</f>
        <v>0</v>
      </c>
    </row>
    <row r="11" spans="1:20">
      <c r="A11" s="35" t="str">
        <f>IF('Poeira Mineral - Respirável'!M8="","",'Poeira Mineral - Respirável'!M8)</f>
        <v/>
      </c>
      <c r="C11" s="29" t="e">
        <f t="shared" si="0"/>
        <v>#VALUE!</v>
      </c>
      <c r="D11" s="36">
        <f t="shared" si="1"/>
        <v>0</v>
      </c>
      <c r="E11" s="29">
        <f>5+2.05</f>
        <v>7.05</v>
      </c>
      <c r="F11" s="29">
        <f t="shared" si="2"/>
        <v>0</v>
      </c>
      <c r="G11" s="29">
        <f t="shared" si="3"/>
        <v>7.05</v>
      </c>
      <c r="H11" s="29" t="b">
        <f t="shared" si="4"/>
        <v>0</v>
      </c>
      <c r="I11" s="29" t="b">
        <f t="shared" si="5"/>
        <v>0</v>
      </c>
      <c r="J11" s="29">
        <f t="shared" si="6"/>
        <v>1</v>
      </c>
      <c r="K11" s="29" t="b">
        <f t="shared" si="7"/>
        <v>0</v>
      </c>
      <c r="M11" s="37" t="b">
        <f t="shared" si="8"/>
        <v>0</v>
      </c>
      <c r="N11" s="29" t="b">
        <f t="shared" si="9"/>
        <v>0</v>
      </c>
      <c r="S11" s="30" t="s">
        <v>65</v>
      </c>
      <c r="T11" s="38" t="e">
        <f>AVERAGE(A10:A60)</f>
        <v>#DIV/0!</v>
      </c>
    </row>
    <row r="12" spans="1:20">
      <c r="A12" s="35" t="str">
        <f>IF('Poeira Mineral - Respirável'!M9="","",'Poeira Mineral - Respirável'!M9)</f>
        <v/>
      </c>
      <c r="C12" s="29" t="e">
        <f t="shared" si="0"/>
        <v>#VALUE!</v>
      </c>
      <c r="D12" s="36">
        <f t="shared" si="1"/>
        <v>0</v>
      </c>
      <c r="E12" s="29">
        <f>5+1.645</f>
        <v>6.6449999999999996</v>
      </c>
      <c r="F12" s="29">
        <f t="shared" si="2"/>
        <v>0</v>
      </c>
      <c r="G12" s="29">
        <f t="shared" si="3"/>
        <v>6.6449999999999996</v>
      </c>
      <c r="H12" s="29" t="b">
        <f t="shared" si="4"/>
        <v>0</v>
      </c>
      <c r="I12" s="29" t="b">
        <f t="shared" si="5"/>
        <v>0</v>
      </c>
      <c r="J12" s="29">
        <f t="shared" si="6"/>
        <v>1</v>
      </c>
      <c r="K12" s="29" t="b">
        <f t="shared" si="7"/>
        <v>0</v>
      </c>
      <c r="M12" s="37" t="b">
        <f t="shared" si="8"/>
        <v>0</v>
      </c>
      <c r="N12" s="29" t="b">
        <f t="shared" si="9"/>
        <v>0</v>
      </c>
      <c r="S12" s="30" t="s">
        <v>66</v>
      </c>
      <c r="T12" s="38" t="e">
        <f>MEDIAN(A10:A60)</f>
        <v>#NUM!</v>
      </c>
    </row>
    <row r="13" spans="1:20">
      <c r="A13" s="35" t="str">
        <f>IF('Poeira Mineral - Respirável'!M10="","",'Poeira Mineral - Respirável'!M10)</f>
        <v/>
      </c>
      <c r="C13" s="29" t="e">
        <f t="shared" si="0"/>
        <v>#VALUE!</v>
      </c>
      <c r="D13" s="36">
        <f t="shared" si="1"/>
        <v>0</v>
      </c>
      <c r="E13" s="29">
        <f>5+1.28</f>
        <v>6.28</v>
      </c>
      <c r="F13" s="29">
        <f t="shared" si="2"/>
        <v>0</v>
      </c>
      <c r="G13" s="29">
        <f t="shared" si="3"/>
        <v>6.28</v>
      </c>
      <c r="H13" s="29" t="b">
        <f t="shared" si="4"/>
        <v>0</v>
      </c>
      <c r="I13" s="29" t="b">
        <f t="shared" si="5"/>
        <v>0</v>
      </c>
      <c r="J13" s="29">
        <f t="shared" si="6"/>
        <v>1</v>
      </c>
      <c r="K13" s="29" t="b">
        <f t="shared" si="7"/>
        <v>0</v>
      </c>
      <c r="M13" s="37" t="b">
        <f t="shared" si="8"/>
        <v>0</v>
      </c>
      <c r="N13" s="29" t="b">
        <f t="shared" si="9"/>
        <v>0</v>
      </c>
      <c r="S13" s="30" t="s">
        <v>67</v>
      </c>
      <c r="T13" s="38" t="e">
        <f>STDEV(A10:A60)</f>
        <v>#DIV/0!</v>
      </c>
    </row>
    <row r="14" spans="1:20">
      <c r="A14" s="35" t="str">
        <f>IF('Poeira Mineral - Respirável'!M11="","",'Poeira Mineral - Respirável'!M11)</f>
        <v/>
      </c>
      <c r="C14" s="29" t="e">
        <f t="shared" si="0"/>
        <v>#VALUE!</v>
      </c>
      <c r="D14" s="36">
        <f t="shared" si="1"/>
        <v>0</v>
      </c>
      <c r="E14" s="29">
        <f>5+1</f>
        <v>6</v>
      </c>
      <c r="F14" s="29">
        <f t="shared" si="2"/>
        <v>0</v>
      </c>
      <c r="G14" s="29">
        <f t="shared" si="3"/>
        <v>6</v>
      </c>
      <c r="H14" s="29" t="b">
        <f t="shared" si="4"/>
        <v>0</v>
      </c>
      <c r="I14" s="29" t="b">
        <f t="shared" si="5"/>
        <v>0</v>
      </c>
      <c r="J14" s="29">
        <f t="shared" si="6"/>
        <v>1</v>
      </c>
      <c r="K14" s="29" t="b">
        <f t="shared" si="7"/>
        <v>0</v>
      </c>
      <c r="M14" s="37" t="b">
        <f t="shared" si="8"/>
        <v>0</v>
      </c>
      <c r="N14" s="29" t="b">
        <f t="shared" si="9"/>
        <v>0</v>
      </c>
      <c r="S14" s="28" t="s">
        <v>68</v>
      </c>
      <c r="T14" s="28" t="e">
        <f>T13/T11</f>
        <v>#DIV/0!</v>
      </c>
    </row>
    <row r="15" spans="1:20">
      <c r="A15" s="35" t="str">
        <f>IF('Poeira Mineral - Respirável'!M12="","",'Poeira Mineral - Respirável'!M12)</f>
        <v/>
      </c>
      <c r="C15" s="29" t="e">
        <f t="shared" si="0"/>
        <v>#VALUE!</v>
      </c>
      <c r="D15" s="36">
        <f t="shared" si="1"/>
        <v>0</v>
      </c>
      <c r="E15" s="29">
        <f>5+0.67</f>
        <v>5.67</v>
      </c>
      <c r="F15" s="29">
        <f t="shared" si="2"/>
        <v>0</v>
      </c>
      <c r="G15" s="29">
        <f t="shared" si="3"/>
        <v>5.67</v>
      </c>
      <c r="H15" s="29" t="b">
        <f t="shared" si="4"/>
        <v>0</v>
      </c>
      <c r="I15" s="29" t="b">
        <f t="shared" si="5"/>
        <v>0</v>
      </c>
      <c r="J15" s="29">
        <f t="shared" si="6"/>
        <v>1</v>
      </c>
      <c r="K15" s="29" t="b">
        <f t="shared" si="7"/>
        <v>0</v>
      </c>
      <c r="M15" s="37" t="b">
        <f t="shared" si="8"/>
        <v>0</v>
      </c>
      <c r="N15" s="29" t="b">
        <f t="shared" si="9"/>
        <v>0</v>
      </c>
      <c r="S15" s="30" t="s">
        <v>69</v>
      </c>
      <c r="T15" s="38">
        <f>T17-T16</f>
        <v>0</v>
      </c>
    </row>
    <row r="16" spans="1:20">
      <c r="A16" s="35" t="str">
        <f>IF('Poeira Mineral - Respirável'!J13="","",'Poeira Mineral - Respirável'!J13)</f>
        <v/>
      </c>
      <c r="C16" s="29" t="e">
        <f t="shared" si="0"/>
        <v>#VALUE!</v>
      </c>
      <c r="D16" s="36">
        <f t="shared" si="1"/>
        <v>0</v>
      </c>
      <c r="E16" s="29">
        <f>5+0</f>
        <v>5</v>
      </c>
      <c r="F16" s="29">
        <f t="shared" si="2"/>
        <v>0</v>
      </c>
      <c r="G16" s="29">
        <f t="shared" si="3"/>
        <v>5</v>
      </c>
      <c r="H16" s="29" t="b">
        <f t="shared" si="4"/>
        <v>0</v>
      </c>
      <c r="I16" s="29" t="b">
        <f t="shared" si="5"/>
        <v>0</v>
      </c>
      <c r="J16" s="29">
        <f t="shared" si="6"/>
        <v>1</v>
      </c>
      <c r="K16" s="29" t="b">
        <f t="shared" si="7"/>
        <v>0</v>
      </c>
      <c r="M16" s="37" t="b">
        <f t="shared" si="8"/>
        <v>0</v>
      </c>
      <c r="N16" s="29" t="b">
        <f t="shared" si="9"/>
        <v>0</v>
      </c>
      <c r="S16" s="30" t="s">
        <v>70</v>
      </c>
      <c r="T16" s="38">
        <f>MIN(A10:A60)</f>
        <v>0</v>
      </c>
    </row>
    <row r="17" spans="1:20">
      <c r="A17" s="35"/>
      <c r="C17" s="29" t="e">
        <f t="shared" si="0"/>
        <v>#N/A</v>
      </c>
      <c r="D17" s="36">
        <f t="shared" si="1"/>
        <v>0</v>
      </c>
      <c r="E17" s="29">
        <f>5+-0.67</f>
        <v>4.33</v>
      </c>
      <c r="F17" s="29">
        <f t="shared" si="2"/>
        <v>0</v>
      </c>
      <c r="G17" s="29">
        <f t="shared" si="3"/>
        <v>4.33</v>
      </c>
      <c r="H17" s="29" t="b">
        <f t="shared" si="4"/>
        <v>0</v>
      </c>
      <c r="I17" s="29" t="b">
        <f t="shared" si="5"/>
        <v>0</v>
      </c>
      <c r="J17" s="29">
        <f t="shared" si="6"/>
        <v>0</v>
      </c>
      <c r="K17" s="29" t="b">
        <f t="shared" si="7"/>
        <v>0</v>
      </c>
      <c r="M17" s="37" t="b">
        <f t="shared" si="8"/>
        <v>0</v>
      </c>
      <c r="N17" s="29" t="b">
        <f t="shared" si="9"/>
        <v>0</v>
      </c>
      <c r="S17" s="30" t="s">
        <v>71</v>
      </c>
      <c r="T17" s="38">
        <f>MAX(A10:A60)</f>
        <v>0</v>
      </c>
    </row>
    <row r="18" spans="1:20">
      <c r="A18" s="35"/>
      <c r="C18" s="29" t="e">
        <f t="shared" si="0"/>
        <v>#N/A</v>
      </c>
      <c r="D18" s="36">
        <f t="shared" si="1"/>
        <v>0</v>
      </c>
      <c r="E18" s="29">
        <f>5+-1</f>
        <v>4</v>
      </c>
      <c r="F18" s="29">
        <f t="shared" si="2"/>
        <v>0</v>
      </c>
      <c r="G18" s="29">
        <f t="shared" si="3"/>
        <v>4</v>
      </c>
      <c r="H18" s="29" t="b">
        <f t="shared" si="4"/>
        <v>0</v>
      </c>
      <c r="I18" s="29" t="b">
        <f t="shared" si="5"/>
        <v>0</v>
      </c>
      <c r="J18" s="29">
        <f t="shared" si="6"/>
        <v>0</v>
      </c>
      <c r="K18" s="29" t="b">
        <f t="shared" si="7"/>
        <v>0</v>
      </c>
      <c r="M18" s="37" t="b">
        <f t="shared" si="8"/>
        <v>0</v>
      </c>
      <c r="N18" s="29" t="b">
        <f t="shared" si="9"/>
        <v>0</v>
      </c>
      <c r="S18" s="30" t="s">
        <v>72</v>
      </c>
      <c r="T18" s="38" t="e">
        <f>EXP(AVERAGE(K10:K60))</f>
        <v>#DIV/0!</v>
      </c>
    </row>
    <row r="19" spans="1:20">
      <c r="A19" s="35"/>
      <c r="C19" s="29" t="e">
        <f t="shared" si="0"/>
        <v>#N/A</v>
      </c>
      <c r="D19" s="36">
        <f t="shared" si="1"/>
        <v>0</v>
      </c>
      <c r="E19" s="29">
        <f>5+-1.28</f>
        <v>3.7199999999999998</v>
      </c>
      <c r="F19" s="29">
        <f t="shared" si="2"/>
        <v>0</v>
      </c>
      <c r="G19" s="29">
        <f t="shared" si="3"/>
        <v>3.7199999999999998</v>
      </c>
      <c r="H19" s="29" t="b">
        <f t="shared" si="4"/>
        <v>0</v>
      </c>
      <c r="I19" s="29" t="b">
        <f t="shared" si="5"/>
        <v>0</v>
      </c>
      <c r="J19" s="29">
        <f t="shared" si="6"/>
        <v>0</v>
      </c>
      <c r="K19" s="29" t="b">
        <f t="shared" si="7"/>
        <v>0</v>
      </c>
      <c r="M19" s="37" t="b">
        <f t="shared" si="8"/>
        <v>0</v>
      </c>
      <c r="N19" s="29" t="b">
        <f t="shared" si="9"/>
        <v>0</v>
      </c>
      <c r="S19" s="30" t="s">
        <v>73</v>
      </c>
      <c r="T19" s="38" t="e">
        <f>EXP(STDEV(K10:K60))</f>
        <v>#DIV/0!</v>
      </c>
    </row>
    <row r="20" spans="1:20">
      <c r="A20" s="35"/>
      <c r="C20" s="29" t="e">
        <f t="shared" si="0"/>
        <v>#N/A</v>
      </c>
      <c r="D20" s="36">
        <f t="shared" si="1"/>
        <v>0</v>
      </c>
      <c r="E20" s="29">
        <f>5+-1.645</f>
        <v>3.355</v>
      </c>
      <c r="F20" s="29">
        <f t="shared" si="2"/>
        <v>0</v>
      </c>
      <c r="G20" s="29">
        <f t="shared" si="3"/>
        <v>3.355</v>
      </c>
      <c r="H20" s="29" t="b">
        <f t="shared" si="4"/>
        <v>0</v>
      </c>
      <c r="I20" s="29" t="b">
        <f t="shared" si="5"/>
        <v>0</v>
      </c>
      <c r="J20" s="29">
        <f t="shared" si="6"/>
        <v>0</v>
      </c>
      <c r="K20" s="29" t="b">
        <f t="shared" si="7"/>
        <v>0</v>
      </c>
      <c r="M20" s="37" t="b">
        <f t="shared" si="8"/>
        <v>0</v>
      </c>
      <c r="N20" s="29" t="b">
        <f t="shared" si="9"/>
        <v>0</v>
      </c>
      <c r="S20" s="30" t="s">
        <v>74</v>
      </c>
      <c r="T20" s="38" t="e">
        <f>(AVERAGE(K10:K60))</f>
        <v>#DIV/0!</v>
      </c>
    </row>
    <row r="21" spans="1:20">
      <c r="A21" s="35"/>
      <c r="C21" s="29" t="e">
        <f t="shared" si="0"/>
        <v>#N/A</v>
      </c>
      <c r="D21" s="36">
        <f t="shared" si="1"/>
        <v>0</v>
      </c>
      <c r="E21" s="29">
        <f>5+-2.05</f>
        <v>2.95</v>
      </c>
      <c r="F21" s="29">
        <f t="shared" si="2"/>
        <v>0</v>
      </c>
      <c r="G21" s="29">
        <f t="shared" si="3"/>
        <v>2.95</v>
      </c>
      <c r="H21" s="29" t="b">
        <f t="shared" si="4"/>
        <v>0</v>
      </c>
      <c r="I21" s="29" t="b">
        <f t="shared" si="5"/>
        <v>0</v>
      </c>
      <c r="J21" s="29">
        <f t="shared" si="6"/>
        <v>0</v>
      </c>
      <c r="K21" s="29" t="b">
        <f t="shared" si="7"/>
        <v>0</v>
      </c>
      <c r="M21" s="37" t="b">
        <f t="shared" si="8"/>
        <v>0</v>
      </c>
      <c r="N21" s="29" t="b">
        <f t="shared" si="9"/>
        <v>0</v>
      </c>
      <c r="S21" s="30" t="s">
        <v>75</v>
      </c>
      <c r="T21" s="38" t="e">
        <f>(STDEV(K10:K60))</f>
        <v>#DIV/0!</v>
      </c>
    </row>
    <row r="22" spans="1:20">
      <c r="A22" s="35"/>
      <c r="C22" s="29" t="e">
        <f t="shared" si="0"/>
        <v>#N/A</v>
      </c>
      <c r="D22" s="36">
        <f t="shared" si="1"/>
        <v>0</v>
      </c>
      <c r="E22" s="29">
        <f>5+-2.33</f>
        <v>2.67</v>
      </c>
      <c r="F22" s="29">
        <f t="shared" si="2"/>
        <v>0</v>
      </c>
      <c r="G22" s="29">
        <f t="shared" si="3"/>
        <v>2.67</v>
      </c>
      <c r="H22" s="29" t="b">
        <f t="shared" si="4"/>
        <v>0</v>
      </c>
      <c r="I22" s="29" t="b">
        <f t="shared" si="5"/>
        <v>0</v>
      </c>
      <c r="J22" s="29">
        <f t="shared" si="6"/>
        <v>0</v>
      </c>
      <c r="K22" s="29" t="b">
        <f t="shared" si="7"/>
        <v>0</v>
      </c>
      <c r="M22" s="37" t="b">
        <f t="shared" si="8"/>
        <v>0</v>
      </c>
      <c r="N22" s="29" t="b">
        <f t="shared" si="9"/>
        <v>0</v>
      </c>
      <c r="S22" s="30" t="s">
        <v>76</v>
      </c>
      <c r="T22" s="38" t="e">
        <f>(SUM(J10:J60)/T10)*100</f>
        <v>#DIV/0!</v>
      </c>
    </row>
    <row r="23" spans="1:20">
      <c r="A23" s="35"/>
      <c r="C23" s="29" t="e">
        <f t="shared" si="0"/>
        <v>#N/A</v>
      </c>
      <c r="H23" s="29" t="b">
        <f t="shared" si="4"/>
        <v>0</v>
      </c>
      <c r="I23" s="29" t="b">
        <f t="shared" si="5"/>
        <v>0</v>
      </c>
      <c r="J23" s="29">
        <f t="shared" si="6"/>
        <v>0</v>
      </c>
      <c r="K23" s="29" t="b">
        <f t="shared" si="7"/>
        <v>0</v>
      </c>
      <c r="M23" s="37" t="b">
        <f t="shared" si="8"/>
        <v>0</v>
      </c>
      <c r="N23" s="29" t="b">
        <f t="shared" si="9"/>
        <v>0</v>
      </c>
      <c r="S23" s="28"/>
    </row>
    <row r="24" spans="1:20">
      <c r="A24" s="35"/>
      <c r="C24" s="29" t="e">
        <f t="shared" si="0"/>
        <v>#N/A</v>
      </c>
      <c r="H24" s="29" t="b">
        <f t="shared" si="4"/>
        <v>0</v>
      </c>
      <c r="I24" s="29" t="b">
        <f t="shared" si="5"/>
        <v>0</v>
      </c>
      <c r="J24" s="29">
        <f t="shared" si="6"/>
        <v>0</v>
      </c>
      <c r="K24" s="29" t="b">
        <f t="shared" si="7"/>
        <v>0</v>
      </c>
      <c r="M24" s="37" t="b">
        <f t="shared" si="8"/>
        <v>0</v>
      </c>
      <c r="N24" s="29" t="b">
        <f t="shared" si="9"/>
        <v>0</v>
      </c>
      <c r="S24" s="28"/>
    </row>
    <row r="25" spans="1:20">
      <c r="A25" s="35"/>
      <c r="C25" s="29" t="e">
        <f t="shared" si="0"/>
        <v>#N/A</v>
      </c>
      <c r="H25" s="29" t="b">
        <f t="shared" si="4"/>
        <v>0</v>
      </c>
      <c r="I25" s="29" t="b">
        <f t="shared" si="5"/>
        <v>0</v>
      </c>
      <c r="J25" s="29">
        <f t="shared" si="6"/>
        <v>0</v>
      </c>
      <c r="K25" s="29" t="b">
        <f t="shared" si="7"/>
        <v>0</v>
      </c>
      <c r="M25" s="37" t="b">
        <f t="shared" si="8"/>
        <v>0</v>
      </c>
      <c r="N25" s="29" t="b">
        <f t="shared" si="9"/>
        <v>0</v>
      </c>
      <c r="S25" s="34" t="s">
        <v>77</v>
      </c>
      <c r="T25" s="38"/>
    </row>
    <row r="26" spans="1:20">
      <c r="A26" s="35"/>
      <c r="C26" s="29" t="e">
        <f t="shared" si="0"/>
        <v>#N/A</v>
      </c>
      <c r="H26" s="29" t="b">
        <f t="shared" si="4"/>
        <v>0</v>
      </c>
      <c r="I26" s="29" t="b">
        <f t="shared" si="5"/>
        <v>0</v>
      </c>
      <c r="J26" s="29">
        <f t="shared" si="6"/>
        <v>0</v>
      </c>
      <c r="K26" s="29" t="b">
        <f t="shared" si="7"/>
        <v>0</v>
      </c>
      <c r="M26" s="37" t="b">
        <f t="shared" si="8"/>
        <v>0</v>
      </c>
      <c r="N26" s="29" t="b">
        <f t="shared" si="9"/>
        <v>0</v>
      </c>
      <c r="S26" s="30" t="s">
        <v>65</v>
      </c>
      <c r="T26" s="38" t="e">
        <f>T11</f>
        <v>#DIV/0!</v>
      </c>
    </row>
    <row r="27" spans="1:20">
      <c r="A27" s="35"/>
      <c r="C27" s="29" t="e">
        <f t="shared" si="0"/>
        <v>#N/A</v>
      </c>
      <c r="H27" s="29" t="b">
        <f t="shared" si="4"/>
        <v>0</v>
      </c>
      <c r="I27" s="29" t="b">
        <f t="shared" si="5"/>
        <v>0</v>
      </c>
      <c r="J27" s="29">
        <f t="shared" si="6"/>
        <v>0</v>
      </c>
      <c r="K27" s="29" t="b">
        <f t="shared" si="7"/>
        <v>0</v>
      </c>
      <c r="M27" s="37" t="b">
        <f t="shared" si="8"/>
        <v>0</v>
      </c>
      <c r="N27" s="29" t="b">
        <f t="shared" si="9"/>
        <v>0</v>
      </c>
      <c r="S27" s="30" t="s">
        <v>78</v>
      </c>
      <c r="T27" s="38" t="e">
        <f>T26+(1.645*T13/SQRT(T10))</f>
        <v>#DIV/0!</v>
      </c>
    </row>
    <row r="28" spans="1:20">
      <c r="A28" s="35"/>
      <c r="C28" s="29" t="e">
        <f t="shared" si="0"/>
        <v>#N/A</v>
      </c>
      <c r="H28" s="29" t="b">
        <f t="shared" si="4"/>
        <v>0</v>
      </c>
      <c r="I28" s="29" t="b">
        <f t="shared" si="5"/>
        <v>0</v>
      </c>
      <c r="J28" s="29">
        <f t="shared" si="6"/>
        <v>0</v>
      </c>
      <c r="K28" s="29" t="b">
        <f t="shared" si="7"/>
        <v>0</v>
      </c>
      <c r="M28" s="37" t="b">
        <f t="shared" si="8"/>
        <v>0</v>
      </c>
      <c r="N28" s="29" t="b">
        <f t="shared" si="9"/>
        <v>0</v>
      </c>
      <c r="S28" s="30" t="s">
        <v>79</v>
      </c>
      <c r="T28" s="38" t="e">
        <f>T26-(1.645*T13/SQRT(T10))</f>
        <v>#DIV/0!</v>
      </c>
    </row>
    <row r="29" spans="1:20">
      <c r="A29" s="35"/>
      <c r="C29" s="29" t="e">
        <f t="shared" si="0"/>
        <v>#N/A</v>
      </c>
      <c r="H29" s="29" t="b">
        <f t="shared" si="4"/>
        <v>0</v>
      </c>
      <c r="I29" s="29" t="b">
        <f t="shared" si="5"/>
        <v>0</v>
      </c>
      <c r="J29" s="29">
        <f t="shared" si="6"/>
        <v>0</v>
      </c>
      <c r="K29" s="29" t="b">
        <f t="shared" si="7"/>
        <v>0</v>
      </c>
      <c r="M29" s="37" t="b">
        <f t="shared" si="8"/>
        <v>0</v>
      </c>
      <c r="N29" s="29" t="b">
        <f t="shared" si="9"/>
        <v>0</v>
      </c>
      <c r="S29" s="30" t="s">
        <v>80</v>
      </c>
      <c r="T29" s="38" t="e">
        <f>T26+(1.645*T13)</f>
        <v>#DIV/0!</v>
      </c>
    </row>
    <row r="30" spans="1:20">
      <c r="A30" s="35"/>
      <c r="C30" s="29" t="e">
        <f t="shared" si="0"/>
        <v>#N/A</v>
      </c>
      <c r="H30" s="29" t="b">
        <f t="shared" si="4"/>
        <v>0</v>
      </c>
      <c r="I30" s="29" t="b">
        <f t="shared" si="5"/>
        <v>0</v>
      </c>
      <c r="J30" s="29">
        <f t="shared" si="6"/>
        <v>0</v>
      </c>
      <c r="K30" s="29" t="b">
        <f t="shared" si="7"/>
        <v>0</v>
      </c>
      <c r="M30" s="37" t="b">
        <f t="shared" si="8"/>
        <v>0</v>
      </c>
      <c r="N30" s="29" t="b">
        <f t="shared" si="9"/>
        <v>0</v>
      </c>
      <c r="S30" s="30" t="s">
        <v>76</v>
      </c>
      <c r="T30" s="38" t="e">
        <f>100*(1-NORMDIST(B6,T26,T13,TRUE()))</f>
        <v>#DIV/0!</v>
      </c>
    </row>
    <row r="31" spans="1:20">
      <c r="A31" s="35"/>
      <c r="C31" s="29" t="e">
        <f t="shared" si="0"/>
        <v>#N/A</v>
      </c>
      <c r="H31" s="29" t="b">
        <f t="shared" si="4"/>
        <v>0</v>
      </c>
      <c r="I31" s="29" t="b">
        <f t="shared" si="5"/>
        <v>0</v>
      </c>
      <c r="J31" s="29">
        <f t="shared" si="6"/>
        <v>0</v>
      </c>
      <c r="K31" s="29" t="b">
        <f t="shared" si="7"/>
        <v>0</v>
      </c>
      <c r="M31" s="37" t="b">
        <f t="shared" si="8"/>
        <v>0</v>
      </c>
      <c r="N31" s="29" t="b">
        <f t="shared" si="9"/>
        <v>0</v>
      </c>
      <c r="S31" s="28" t="s">
        <v>81</v>
      </c>
      <c r="T31" s="28" t="e" vm="1">
        <f>B361</f>
        <v>#VALUE!</v>
      </c>
    </row>
    <row r="32" spans="1:20">
      <c r="A32" s="35"/>
      <c r="C32" s="29" t="e">
        <f t="shared" si="0"/>
        <v>#N/A</v>
      </c>
      <c r="H32" s="29" t="b">
        <f t="shared" si="4"/>
        <v>0</v>
      </c>
      <c r="I32" s="29" t="b">
        <f t="shared" si="5"/>
        <v>0</v>
      </c>
      <c r="J32" s="29">
        <f t="shared" si="6"/>
        <v>0</v>
      </c>
      <c r="K32" s="29" t="b">
        <f t="shared" si="7"/>
        <v>0</v>
      </c>
      <c r="M32" s="37" t="b">
        <f t="shared" si="8"/>
        <v>0</v>
      </c>
      <c r="N32" s="29" t="b">
        <f t="shared" si="9"/>
        <v>0</v>
      </c>
      <c r="S32" s="28" t="s">
        <v>82</v>
      </c>
      <c r="T32" s="39" t="e" vm="1">
        <f>D361</f>
        <v>#VALUE!</v>
      </c>
    </row>
    <row r="33" spans="1:20">
      <c r="A33" s="35"/>
      <c r="C33" s="29" t="e">
        <f t="shared" si="0"/>
        <v>#N/A</v>
      </c>
      <c r="H33" s="29" t="b">
        <f t="shared" si="4"/>
        <v>0</v>
      </c>
      <c r="I33" s="29" t="b">
        <f t="shared" si="5"/>
        <v>0</v>
      </c>
      <c r="J33" s="29">
        <f t="shared" si="6"/>
        <v>0</v>
      </c>
      <c r="K33" s="29" t="b">
        <f t="shared" si="7"/>
        <v>0</v>
      </c>
      <c r="M33" s="37" t="b">
        <f t="shared" si="8"/>
        <v>0</v>
      </c>
      <c r="N33" s="29" t="b">
        <f t="shared" si="9"/>
        <v>0</v>
      </c>
      <c r="S33" s="28"/>
    </row>
    <row r="34" spans="1:20">
      <c r="A34" s="35"/>
      <c r="C34" s="29" t="e">
        <f t="shared" si="0"/>
        <v>#N/A</v>
      </c>
      <c r="H34" s="29" t="b">
        <f t="shared" si="4"/>
        <v>0</v>
      </c>
      <c r="I34" s="29" t="b">
        <f t="shared" si="5"/>
        <v>0</v>
      </c>
      <c r="J34" s="29">
        <f t="shared" si="6"/>
        <v>0</v>
      </c>
      <c r="K34" s="29" t="b">
        <f t="shared" si="7"/>
        <v>0</v>
      </c>
      <c r="M34" s="37" t="b">
        <f t="shared" si="8"/>
        <v>0</v>
      </c>
      <c r="N34" s="29" t="b">
        <f t="shared" si="9"/>
        <v>0</v>
      </c>
      <c r="S34" s="34" t="s">
        <v>83</v>
      </c>
      <c r="T34" s="38"/>
    </row>
    <row r="35" spans="1:20">
      <c r="A35" s="35"/>
      <c r="C35" s="29" t="e">
        <f t="shared" si="0"/>
        <v>#N/A</v>
      </c>
      <c r="H35" s="29" t="b">
        <f t="shared" si="4"/>
        <v>0</v>
      </c>
      <c r="I35" s="29" t="b">
        <f t="shared" si="5"/>
        <v>0</v>
      </c>
      <c r="J35" s="29">
        <f t="shared" si="6"/>
        <v>0</v>
      </c>
      <c r="K35" s="29" t="b">
        <f t="shared" si="7"/>
        <v>0</v>
      </c>
      <c r="M35" s="37" t="b">
        <f t="shared" si="8"/>
        <v>0</v>
      </c>
      <c r="N35" s="29" t="b">
        <f t="shared" si="9"/>
        <v>0</v>
      </c>
      <c r="S35" s="30" t="s">
        <v>72</v>
      </c>
      <c r="T35" s="38" t="e">
        <f>T18</f>
        <v>#DIV/0!</v>
      </c>
    </row>
    <row r="36" spans="1:20">
      <c r="A36" s="35"/>
      <c r="C36" s="29" t="e">
        <f t="shared" si="0"/>
        <v>#N/A</v>
      </c>
      <c r="H36" s="29" t="b">
        <f t="shared" si="4"/>
        <v>0</v>
      </c>
      <c r="I36" s="29" t="b">
        <f t="shared" si="5"/>
        <v>0</v>
      </c>
      <c r="J36" s="29">
        <f t="shared" si="6"/>
        <v>0</v>
      </c>
      <c r="K36" s="29" t="b">
        <f t="shared" si="7"/>
        <v>0</v>
      </c>
      <c r="M36" s="37" t="b">
        <f t="shared" si="8"/>
        <v>0</v>
      </c>
      <c r="N36" s="29" t="b">
        <f t="shared" si="9"/>
        <v>0</v>
      </c>
      <c r="S36" s="30" t="s">
        <v>73</v>
      </c>
      <c r="T36" s="38" t="e">
        <f>T19</f>
        <v>#DIV/0!</v>
      </c>
    </row>
    <row r="37" spans="1:20">
      <c r="A37" s="35"/>
      <c r="C37" s="29" t="e">
        <f t="shared" si="0"/>
        <v>#N/A</v>
      </c>
      <c r="H37" s="29" t="b">
        <f t="shared" si="4"/>
        <v>0</v>
      </c>
      <c r="I37" s="29" t="b">
        <f t="shared" si="5"/>
        <v>0</v>
      </c>
      <c r="J37" s="29">
        <f t="shared" si="6"/>
        <v>0</v>
      </c>
      <c r="K37" s="29" t="b">
        <f t="shared" si="7"/>
        <v>0</v>
      </c>
      <c r="M37" s="37" t="b">
        <f t="shared" si="8"/>
        <v>0</v>
      </c>
      <c r="N37" s="29" t="b">
        <f t="shared" si="9"/>
        <v>0</v>
      </c>
      <c r="S37" s="30" t="s">
        <v>84</v>
      </c>
      <c r="T37" s="38" t="e">
        <f>T11</f>
        <v>#DIV/0!</v>
      </c>
    </row>
    <row r="38" spans="1:20">
      <c r="A38" s="35"/>
      <c r="C38" s="29" t="e">
        <f t="shared" si="0"/>
        <v>#N/A</v>
      </c>
      <c r="H38" s="29" t="b">
        <f t="shared" si="4"/>
        <v>0</v>
      </c>
      <c r="I38" s="29" t="b">
        <f t="shared" si="5"/>
        <v>0</v>
      </c>
      <c r="J38" s="29">
        <f t="shared" si="6"/>
        <v>0</v>
      </c>
      <c r="K38" s="29" t="b">
        <f t="shared" si="7"/>
        <v>0</v>
      </c>
      <c r="M38" s="37" t="b">
        <f t="shared" si="8"/>
        <v>0</v>
      </c>
      <c r="N38" s="29" t="b">
        <f t="shared" si="9"/>
        <v>0</v>
      </c>
      <c r="Q38" s="28"/>
      <c r="R38" s="28"/>
      <c r="S38" s="30" t="s">
        <v>85</v>
      </c>
      <c r="T38" s="38" t="e">
        <f>W98</f>
        <v>#DIV/0!</v>
      </c>
    </row>
    <row r="39" spans="1:20">
      <c r="A39" s="35"/>
      <c r="C39" s="29" t="e">
        <f t="shared" si="0"/>
        <v>#N/A</v>
      </c>
      <c r="H39" s="29" t="b">
        <f t="shared" si="4"/>
        <v>0</v>
      </c>
      <c r="I39" s="29" t="b">
        <f t="shared" si="5"/>
        <v>0</v>
      </c>
      <c r="J39" s="29">
        <f t="shared" si="6"/>
        <v>0</v>
      </c>
      <c r="K39" s="29" t="b">
        <f t="shared" si="7"/>
        <v>0</v>
      </c>
      <c r="M39" s="37" t="b">
        <f t="shared" si="8"/>
        <v>0</v>
      </c>
      <c r="N39" s="29" t="b">
        <f t="shared" si="9"/>
        <v>0</v>
      </c>
      <c r="Q39" s="28"/>
      <c r="R39" s="28"/>
      <c r="S39" s="30" t="s">
        <v>86</v>
      </c>
      <c r="T39" s="38" t="e">
        <f>X96</f>
        <v>#DIV/0!</v>
      </c>
    </row>
    <row r="40" spans="1:20">
      <c r="A40" s="35"/>
      <c r="C40" s="29" t="e">
        <f t="shared" si="0"/>
        <v>#N/A</v>
      </c>
      <c r="H40" s="29" t="b">
        <f t="shared" si="4"/>
        <v>0</v>
      </c>
      <c r="I40" s="29" t="b">
        <f t="shared" si="5"/>
        <v>0</v>
      </c>
      <c r="J40" s="29">
        <f t="shared" si="6"/>
        <v>0</v>
      </c>
      <c r="K40" s="29" t="b">
        <f t="shared" si="7"/>
        <v>0</v>
      </c>
      <c r="M40" s="37" t="b">
        <f t="shared" si="8"/>
        <v>0</v>
      </c>
      <c r="N40" s="29" t="b">
        <f t="shared" si="9"/>
        <v>0</v>
      </c>
      <c r="S40" s="30" t="s">
        <v>87</v>
      </c>
      <c r="T40" s="38" t="e">
        <f>$T$37+(TINV(0.1,$T$10-1)*($T$13/SQRT($T$10)))</f>
        <v>#DIV/0!</v>
      </c>
    </row>
    <row r="41" spans="1:20">
      <c r="A41" s="35"/>
      <c r="C41" s="29" t="e">
        <f t="shared" si="0"/>
        <v>#N/A</v>
      </c>
      <c r="H41" s="29" t="b">
        <f t="shared" si="4"/>
        <v>0</v>
      </c>
      <c r="I41" s="29" t="b">
        <f t="shared" si="5"/>
        <v>0</v>
      </c>
      <c r="J41" s="29">
        <f t="shared" si="6"/>
        <v>0</v>
      </c>
      <c r="K41" s="29" t="b">
        <f t="shared" si="7"/>
        <v>0</v>
      </c>
      <c r="M41" s="37" t="b">
        <f t="shared" si="8"/>
        <v>0</v>
      </c>
      <c r="N41" s="29" t="b">
        <f t="shared" si="9"/>
        <v>0</v>
      </c>
      <c r="S41" s="30" t="s">
        <v>88</v>
      </c>
      <c r="T41" s="38" t="e">
        <f>$T$37-(TINV(0.1,$T$10-1)*($T$13/SQRT($T$10)))</f>
        <v>#DIV/0!</v>
      </c>
    </row>
    <row r="42" spans="1:20">
      <c r="A42" s="35"/>
      <c r="C42" s="29" t="e">
        <f t="shared" ref="C42:C60" si="10">K106</f>
        <v>#N/A</v>
      </c>
      <c r="H42" s="29" t="b">
        <f t="shared" ref="H42:H60" si="11">IF(ISNUMBER(N106),N106)</f>
        <v>0</v>
      </c>
      <c r="I42" s="29" t="b">
        <f t="shared" ref="I42:I60" si="12">IF(ISNUMBER(O106),O106)</f>
        <v>0</v>
      </c>
      <c r="J42" s="29">
        <f t="shared" ref="J42:J60" si="13">IF(A42&gt;$B$6,1,0)</f>
        <v>0</v>
      </c>
      <c r="K42" s="29" t="b">
        <f t="shared" ref="K42:K60" si="14">IF(ISNUMBER(N106),LN(N106))</f>
        <v>0</v>
      </c>
      <c r="M42" s="37" t="b">
        <f t="shared" ref="M42:M60" si="15">IF(ISNUMBER(A42),(A42-$T$11)^2)</f>
        <v>0</v>
      </c>
      <c r="N42" s="29" t="b">
        <f t="shared" ref="N42:N60" si="16">IF(ISNUMBER(K42),(K42-$T$20)^2)</f>
        <v>0</v>
      </c>
      <c r="S42" s="30" t="s">
        <v>89</v>
      </c>
      <c r="T42" s="38" t="e">
        <f>$T$38*EXP(TINV(0.1,$T$10-1)*($T$21/SQRT($T$10)))</f>
        <v>#DIV/0!</v>
      </c>
    </row>
    <row r="43" spans="1:20">
      <c r="A43" s="35"/>
      <c r="C43" s="29" t="e">
        <f t="shared" si="10"/>
        <v>#N/A</v>
      </c>
      <c r="H43" s="29" t="b">
        <f t="shared" si="11"/>
        <v>0</v>
      </c>
      <c r="I43" s="29" t="b">
        <f t="shared" si="12"/>
        <v>0</v>
      </c>
      <c r="J43" s="29">
        <f t="shared" si="13"/>
        <v>0</v>
      </c>
      <c r="K43" s="29" t="b">
        <f t="shared" si="14"/>
        <v>0</v>
      </c>
      <c r="M43" s="37" t="b">
        <f t="shared" si="15"/>
        <v>0</v>
      </c>
      <c r="N43" s="29" t="b">
        <f t="shared" si="16"/>
        <v>0</v>
      </c>
      <c r="S43" s="30" t="s">
        <v>90</v>
      </c>
      <c r="T43" s="38" t="e">
        <f>$T$38*EXP(-TINV(0.1,$T$10-1)*($T$21/SQRT($T$10)))</f>
        <v>#DIV/0!</v>
      </c>
    </row>
    <row r="44" spans="1:20">
      <c r="A44" s="35"/>
      <c r="C44" s="29" t="e">
        <f t="shared" si="10"/>
        <v>#N/A</v>
      </c>
      <c r="H44" s="29" t="b">
        <f t="shared" si="11"/>
        <v>0</v>
      </c>
      <c r="I44" s="29" t="b">
        <f t="shared" si="12"/>
        <v>0</v>
      </c>
      <c r="J44" s="29">
        <f t="shared" si="13"/>
        <v>0</v>
      </c>
      <c r="K44" s="29" t="b">
        <f t="shared" si="14"/>
        <v>0</v>
      </c>
      <c r="M44" s="37" t="b">
        <f t="shared" si="15"/>
        <v>0</v>
      </c>
      <c r="N44" s="29" t="b">
        <f t="shared" si="16"/>
        <v>0</v>
      </c>
      <c r="S44" s="30" t="s">
        <v>91</v>
      </c>
      <c r="T44" s="38" t="e">
        <f>$T$39*EXP(TINV(0.05,$T$10-1)*SQRT(((($T$21)^2)/$T$10)+((($T$21)^4)/2)/(($T$10)-1)))</f>
        <v>#DIV/0!</v>
      </c>
    </row>
    <row r="45" spans="1:20">
      <c r="A45" s="35"/>
      <c r="C45" s="29" t="e">
        <f t="shared" si="10"/>
        <v>#N/A</v>
      </c>
      <c r="H45" s="29" t="b">
        <f t="shared" si="11"/>
        <v>0</v>
      </c>
      <c r="I45" s="29" t="b">
        <f t="shared" si="12"/>
        <v>0</v>
      </c>
      <c r="J45" s="29">
        <f t="shared" si="13"/>
        <v>0</v>
      </c>
      <c r="K45" s="29" t="b">
        <f t="shared" si="14"/>
        <v>0</v>
      </c>
      <c r="M45" s="37" t="b">
        <f t="shared" si="15"/>
        <v>0</v>
      </c>
      <c r="N45" s="29" t="b">
        <f t="shared" si="16"/>
        <v>0</v>
      </c>
      <c r="S45" s="30" t="s">
        <v>92</v>
      </c>
      <c r="T45" s="38" t="e">
        <f>$T$39*EXP(-TINV(0.05,$T$10-1)*SQRT(((($T$21)^2)/$T$10)+((($T$21)^4)/2)/(($T$10)-1)))</f>
        <v>#DIV/0!</v>
      </c>
    </row>
    <row r="46" spans="1:20">
      <c r="A46" s="35"/>
      <c r="C46" s="29" t="e">
        <f t="shared" si="10"/>
        <v>#N/A</v>
      </c>
      <c r="H46" s="29" t="b">
        <f t="shared" si="11"/>
        <v>0</v>
      </c>
      <c r="I46" s="29" t="b">
        <f t="shared" si="12"/>
        <v>0</v>
      </c>
      <c r="J46" s="29">
        <f t="shared" si="13"/>
        <v>0</v>
      </c>
      <c r="K46" s="29" t="b">
        <f t="shared" si="14"/>
        <v>0</v>
      </c>
      <c r="M46" s="37" t="b">
        <f t="shared" si="15"/>
        <v>0</v>
      </c>
      <c r="N46" s="29" t="b">
        <f t="shared" si="16"/>
        <v>0</v>
      </c>
      <c r="S46" s="30" t="s">
        <v>93</v>
      </c>
      <c r="T46" s="38" t="e">
        <f>J179</f>
        <v>#DIV/0!</v>
      </c>
    </row>
    <row r="47" spans="1:20">
      <c r="A47" s="35"/>
      <c r="C47" s="29" t="e">
        <f t="shared" si="10"/>
        <v>#N/A</v>
      </c>
      <c r="H47" s="29" t="b">
        <f t="shared" si="11"/>
        <v>0</v>
      </c>
      <c r="I47" s="29" t="b">
        <f t="shared" si="12"/>
        <v>0</v>
      </c>
      <c r="J47" s="29">
        <f t="shared" si="13"/>
        <v>0</v>
      </c>
      <c r="K47" s="29" t="b">
        <f t="shared" si="14"/>
        <v>0</v>
      </c>
      <c r="M47" s="37" t="b">
        <f t="shared" si="15"/>
        <v>0</v>
      </c>
      <c r="N47" s="29" t="b">
        <f t="shared" si="16"/>
        <v>0</v>
      </c>
      <c r="S47" s="30" t="s">
        <v>94</v>
      </c>
      <c r="T47" s="38" t="e">
        <f>J178</f>
        <v>#DIV/0!</v>
      </c>
    </row>
    <row r="48" spans="1:20">
      <c r="A48" s="35"/>
      <c r="C48" s="29" t="e">
        <f t="shared" si="10"/>
        <v>#N/A</v>
      </c>
      <c r="H48" s="29" t="b">
        <f t="shared" si="11"/>
        <v>0</v>
      </c>
      <c r="I48" s="29" t="b">
        <f t="shared" si="12"/>
        <v>0</v>
      </c>
      <c r="J48" s="29">
        <f t="shared" si="13"/>
        <v>0</v>
      </c>
      <c r="K48" s="29" t="b">
        <f t="shared" si="14"/>
        <v>0</v>
      </c>
      <c r="M48" s="37" t="b">
        <f t="shared" si="15"/>
        <v>0</v>
      </c>
      <c r="N48" s="29" t="b">
        <f t="shared" si="16"/>
        <v>0</v>
      </c>
      <c r="S48" s="30" t="s">
        <v>95</v>
      </c>
      <c r="T48" s="38" t="e">
        <f>$T$35*($T$36^(1.645))</f>
        <v>#DIV/0!</v>
      </c>
    </row>
    <row r="49" spans="1:22">
      <c r="A49" s="35"/>
      <c r="C49" s="29" t="e">
        <f t="shared" si="10"/>
        <v>#N/A</v>
      </c>
      <c r="H49" s="29" t="b">
        <f t="shared" si="11"/>
        <v>0</v>
      </c>
      <c r="I49" s="29" t="b">
        <f t="shared" si="12"/>
        <v>0</v>
      </c>
      <c r="J49" s="29">
        <f t="shared" si="13"/>
        <v>0</v>
      </c>
      <c r="K49" s="29" t="b">
        <f t="shared" si="14"/>
        <v>0</v>
      </c>
      <c r="M49" s="37" t="b">
        <f t="shared" si="15"/>
        <v>0</v>
      </c>
      <c r="N49" s="29" t="b">
        <f t="shared" si="16"/>
        <v>0</v>
      </c>
      <c r="S49" s="30" t="s">
        <v>96</v>
      </c>
      <c r="T49" s="38" t="e">
        <f>AE87</f>
        <v>#DIV/0!</v>
      </c>
    </row>
    <row r="50" spans="1:22">
      <c r="A50" s="35"/>
      <c r="C50" s="29" t="e">
        <f t="shared" si="10"/>
        <v>#N/A</v>
      </c>
      <c r="H50" s="29" t="b">
        <f t="shared" si="11"/>
        <v>0</v>
      </c>
      <c r="I50" s="29" t="b">
        <f t="shared" si="12"/>
        <v>0</v>
      </c>
      <c r="J50" s="29">
        <f t="shared" si="13"/>
        <v>0</v>
      </c>
      <c r="K50" s="29" t="b">
        <f t="shared" si="14"/>
        <v>0</v>
      </c>
      <c r="M50" s="37" t="b">
        <f t="shared" si="15"/>
        <v>0</v>
      </c>
      <c r="N50" s="29" t="b">
        <f t="shared" si="16"/>
        <v>0</v>
      </c>
      <c r="S50" s="30" t="s">
        <v>76</v>
      </c>
      <c r="T50" s="38" t="e">
        <f>100*(1-LOGNORMDIST($B$6,$T$20,$T$21))</f>
        <v>#DIV/0!</v>
      </c>
    </row>
    <row r="51" spans="1:22">
      <c r="A51" s="35"/>
      <c r="C51" s="29" t="e">
        <f t="shared" si="10"/>
        <v>#N/A</v>
      </c>
      <c r="H51" s="29" t="b">
        <f t="shared" si="11"/>
        <v>0</v>
      </c>
      <c r="I51" s="29" t="b">
        <f t="shared" si="12"/>
        <v>0</v>
      </c>
      <c r="J51" s="29">
        <f t="shared" si="13"/>
        <v>0</v>
      </c>
      <c r="K51" s="29" t="b">
        <f t="shared" si="14"/>
        <v>0</v>
      </c>
      <c r="M51" s="37" t="b">
        <f t="shared" si="15"/>
        <v>0</v>
      </c>
      <c r="N51" s="29" t="b">
        <f t="shared" si="16"/>
        <v>0</v>
      </c>
      <c r="S51" s="28" t="s">
        <v>97</v>
      </c>
      <c r="T51" s="28" t="e">
        <f>J212*100</f>
        <v>#N/A</v>
      </c>
    </row>
    <row r="52" spans="1:22">
      <c r="A52" s="35"/>
      <c r="C52" s="29" t="e">
        <f t="shared" si="10"/>
        <v>#N/A</v>
      </c>
      <c r="H52" s="29" t="b">
        <f t="shared" si="11"/>
        <v>0</v>
      </c>
      <c r="I52" s="29" t="b">
        <f t="shared" si="12"/>
        <v>0</v>
      </c>
      <c r="J52" s="29">
        <f t="shared" si="13"/>
        <v>0</v>
      </c>
      <c r="K52" s="29" t="b">
        <f t="shared" si="14"/>
        <v>0</v>
      </c>
      <c r="M52" s="37" t="b">
        <f t="shared" si="15"/>
        <v>0</v>
      </c>
      <c r="N52" s="29" t="b">
        <f t="shared" si="16"/>
        <v>0</v>
      </c>
      <c r="S52" s="28" t="s">
        <v>98</v>
      </c>
      <c r="T52" s="28" t="e">
        <f>J211*100</f>
        <v>#N/A</v>
      </c>
    </row>
    <row r="53" spans="1:22">
      <c r="A53" s="35"/>
      <c r="C53" s="29" t="e">
        <f t="shared" si="10"/>
        <v>#N/A</v>
      </c>
      <c r="H53" s="29" t="b">
        <f t="shared" si="11"/>
        <v>0</v>
      </c>
      <c r="I53" s="29" t="b">
        <f t="shared" si="12"/>
        <v>0</v>
      </c>
      <c r="J53" s="29">
        <f t="shared" si="13"/>
        <v>0</v>
      </c>
      <c r="K53" s="29" t="b">
        <f t="shared" si="14"/>
        <v>0</v>
      </c>
      <c r="M53" s="37" t="b">
        <f t="shared" si="15"/>
        <v>0</v>
      </c>
      <c r="N53" s="29" t="b">
        <f t="shared" si="16"/>
        <v>0</v>
      </c>
      <c r="S53" s="30" t="s">
        <v>99</v>
      </c>
      <c r="T53" s="38" t="e">
        <f>$AB$94</f>
        <v>#DIV/0!</v>
      </c>
    </row>
    <row r="54" spans="1:22">
      <c r="A54" s="35"/>
      <c r="C54" s="29" t="e">
        <f t="shared" si="10"/>
        <v>#N/A</v>
      </c>
      <c r="H54" s="29" t="b">
        <f t="shared" si="11"/>
        <v>0</v>
      </c>
      <c r="I54" s="29" t="b">
        <f t="shared" si="12"/>
        <v>0</v>
      </c>
      <c r="J54" s="29">
        <f t="shared" si="13"/>
        <v>0</v>
      </c>
      <c r="K54" s="29" t="b">
        <f t="shared" si="14"/>
        <v>0</v>
      </c>
      <c r="M54" s="37" t="b">
        <f t="shared" si="15"/>
        <v>0</v>
      </c>
      <c r="N54" s="29" t="b">
        <f t="shared" si="16"/>
        <v>0</v>
      </c>
      <c r="S54" s="30" t="s">
        <v>100</v>
      </c>
      <c r="T54" s="28" t="e">
        <f>$AA$94</f>
        <v>#DIV/0!</v>
      </c>
    </row>
    <row r="55" spans="1:22">
      <c r="A55" s="35"/>
      <c r="C55" s="29" t="e">
        <f t="shared" si="10"/>
        <v>#N/A</v>
      </c>
      <c r="H55" s="29" t="b">
        <f t="shared" si="11"/>
        <v>0</v>
      </c>
      <c r="I55" s="29" t="b">
        <f t="shared" si="12"/>
        <v>0</v>
      </c>
      <c r="J55" s="29">
        <f t="shared" si="13"/>
        <v>0</v>
      </c>
      <c r="K55" s="29" t="b">
        <f t="shared" si="14"/>
        <v>0</v>
      </c>
      <c r="M55" s="37" t="b">
        <f t="shared" si="15"/>
        <v>0</v>
      </c>
      <c r="N55" s="29" t="b">
        <f t="shared" si="16"/>
        <v>0</v>
      </c>
      <c r="S55" s="28" t="s">
        <v>101</v>
      </c>
      <c r="T55" s="28" t="e" vm="1">
        <f>B362</f>
        <v>#VALUE!</v>
      </c>
    </row>
    <row r="56" spans="1:22">
      <c r="A56" s="35"/>
      <c r="C56" s="29" t="e">
        <f t="shared" si="10"/>
        <v>#N/A</v>
      </c>
      <c r="H56" s="29" t="b">
        <f t="shared" si="11"/>
        <v>0</v>
      </c>
      <c r="I56" s="29" t="b">
        <f t="shared" si="12"/>
        <v>0</v>
      </c>
      <c r="J56" s="29">
        <f t="shared" si="13"/>
        <v>0</v>
      </c>
      <c r="K56" s="29" t="b">
        <f t="shared" si="14"/>
        <v>0</v>
      </c>
      <c r="M56" s="37" t="b">
        <f t="shared" si="15"/>
        <v>0</v>
      </c>
      <c r="N56" s="29" t="b">
        <f t="shared" si="16"/>
        <v>0</v>
      </c>
      <c r="S56" s="28" t="s">
        <v>102</v>
      </c>
      <c r="T56" s="39" t="e" vm="1">
        <f>D362</f>
        <v>#VALUE!</v>
      </c>
    </row>
    <row r="57" spans="1:22">
      <c r="A57" s="35"/>
      <c r="C57" s="29" t="e">
        <f t="shared" si="10"/>
        <v>#N/A</v>
      </c>
      <c r="H57" s="29" t="b">
        <f t="shared" si="11"/>
        <v>0</v>
      </c>
      <c r="I57" s="29" t="b">
        <f t="shared" si="12"/>
        <v>0</v>
      </c>
      <c r="J57" s="29">
        <f t="shared" si="13"/>
        <v>0</v>
      </c>
      <c r="K57" s="29" t="b">
        <f t="shared" si="14"/>
        <v>0</v>
      </c>
      <c r="M57" s="37" t="b">
        <f t="shared" si="15"/>
        <v>0</v>
      </c>
      <c r="N57" s="29" t="b">
        <f t="shared" si="16"/>
        <v>0</v>
      </c>
      <c r="S57" s="28"/>
    </row>
    <row r="58" spans="1:22">
      <c r="A58" s="35"/>
      <c r="C58" s="29" t="e">
        <f t="shared" si="10"/>
        <v>#N/A</v>
      </c>
      <c r="H58" s="29" t="b">
        <f t="shared" si="11"/>
        <v>0</v>
      </c>
      <c r="I58" s="29" t="b">
        <f t="shared" si="12"/>
        <v>0</v>
      </c>
      <c r="J58" s="29">
        <f t="shared" si="13"/>
        <v>0</v>
      </c>
      <c r="K58" s="29" t="b">
        <f t="shared" si="14"/>
        <v>0</v>
      </c>
      <c r="M58" s="37" t="b">
        <f t="shared" si="15"/>
        <v>0</v>
      </c>
      <c r="N58" s="29" t="b">
        <f t="shared" si="16"/>
        <v>0</v>
      </c>
    </row>
    <row r="59" spans="1:22">
      <c r="A59" s="35"/>
      <c r="C59" s="29" t="e">
        <f t="shared" si="10"/>
        <v>#N/A</v>
      </c>
      <c r="H59" s="29" t="b">
        <f t="shared" si="11"/>
        <v>0</v>
      </c>
      <c r="I59" s="29" t="b">
        <f t="shared" si="12"/>
        <v>0</v>
      </c>
      <c r="J59" s="29">
        <f t="shared" si="13"/>
        <v>0</v>
      </c>
      <c r="K59" s="29" t="b">
        <f t="shared" si="14"/>
        <v>0</v>
      </c>
      <c r="M59" s="37" t="b">
        <f t="shared" si="15"/>
        <v>0</v>
      </c>
      <c r="N59" s="29" t="b">
        <f t="shared" si="16"/>
        <v>0</v>
      </c>
    </row>
    <row r="60" spans="1:22" ht="13.8" thickBot="1">
      <c r="A60" s="40"/>
      <c r="C60" s="29" t="e">
        <f t="shared" si="10"/>
        <v>#N/A</v>
      </c>
      <c r="H60" s="29" t="b">
        <f t="shared" si="11"/>
        <v>0</v>
      </c>
      <c r="I60" s="29" t="b">
        <f t="shared" si="12"/>
        <v>0</v>
      </c>
      <c r="J60" s="29">
        <f t="shared" si="13"/>
        <v>0</v>
      </c>
      <c r="K60" s="29" t="b">
        <f t="shared" si="14"/>
        <v>0</v>
      </c>
      <c r="M60" s="37" t="b">
        <f t="shared" si="15"/>
        <v>0</v>
      </c>
      <c r="N60" s="29" t="b">
        <f t="shared" si="16"/>
        <v>0</v>
      </c>
    </row>
    <row r="61" spans="1:22" ht="13.8" thickTop="1"/>
    <row r="62" spans="1:22">
      <c r="L62" s="29" t="s">
        <v>103</v>
      </c>
      <c r="M62" s="37">
        <f>SUM(M10:M60)</f>
        <v>0</v>
      </c>
      <c r="N62" s="37">
        <f>SUM(N10:N60)</f>
        <v>0</v>
      </c>
    </row>
    <row r="64" spans="1:22">
      <c r="V64" s="28" t="s">
        <v>104</v>
      </c>
    </row>
    <row r="65" spans="1:25">
      <c r="V65" s="28" t="s">
        <v>105</v>
      </c>
      <c r="W65" s="28" t="e">
        <f>SLOPE(I10:I60,H10:H60)</f>
        <v>#DIV/0!</v>
      </c>
    </row>
    <row r="66" spans="1:25">
      <c r="V66" s="28" t="s">
        <v>106</v>
      </c>
      <c r="W66" s="28" t="e">
        <f>INTERCEPT(I10:I60,H10:H60)</f>
        <v>#DIV/0!</v>
      </c>
    </row>
    <row r="68" spans="1:25">
      <c r="V68" s="28" t="s">
        <v>107</v>
      </c>
      <c r="W68" s="28" t="s">
        <v>57</v>
      </c>
      <c r="X68" s="28" t="s">
        <v>108</v>
      </c>
    </row>
    <row r="69" spans="1:25">
      <c r="W69" s="41" t="e">
        <f>(X69-W66)/W65</f>
        <v>#DIV/0!</v>
      </c>
      <c r="X69" s="28">
        <v>2.5</v>
      </c>
    </row>
    <row r="70" spans="1:25">
      <c r="W70" s="41" t="e">
        <f>(X70-W66)/W65</f>
        <v>#DIV/0!</v>
      </c>
      <c r="X70" s="28">
        <v>7.33</v>
      </c>
    </row>
    <row r="72" spans="1:25">
      <c r="C72" s="29" t="s">
        <v>109</v>
      </c>
      <c r="M72" s="29" t="s">
        <v>110</v>
      </c>
    </row>
    <row r="73" spans="1:25">
      <c r="A73" s="28" t="s">
        <v>111</v>
      </c>
      <c r="D73" s="29" t="s">
        <v>112</v>
      </c>
      <c r="I73" s="29" t="s">
        <v>113</v>
      </c>
      <c r="J73" s="29" t="s">
        <v>114</v>
      </c>
      <c r="K73" s="29" t="s">
        <v>115</v>
      </c>
      <c r="M73" s="29" t="s">
        <v>116</v>
      </c>
      <c r="N73" s="29" t="s">
        <v>117</v>
      </c>
      <c r="O73" s="29" t="s">
        <v>115</v>
      </c>
      <c r="P73" s="29" t="s">
        <v>54</v>
      </c>
      <c r="S73" s="30" t="s">
        <v>42</v>
      </c>
      <c r="T73" s="28" t="s">
        <v>43</v>
      </c>
      <c r="V73" s="28" t="s">
        <v>118</v>
      </c>
    </row>
    <row r="74" spans="1:25">
      <c r="A74" s="28" t="str">
        <f t="shared" ref="A74:A105" si="17">A10</f>
        <v/>
      </c>
      <c r="D74" s="42">
        <f>$T$17</f>
        <v>0</v>
      </c>
      <c r="I74" s="29" t="b">
        <f t="shared" ref="I74:I105" si="18">IF(ISNUMBER(J74),M74)</f>
        <v>0</v>
      </c>
      <c r="J74" s="29" t="str">
        <f t="shared" ref="J74:J105" si="19">IF(A74&gt;0,A74,NA())</f>
        <v/>
      </c>
      <c r="K74" s="29" t="e">
        <f t="shared" ref="K74:K105" si="20">NORMSINV(S74)+5</f>
        <v>#VALUE!</v>
      </c>
      <c r="M74" s="29">
        <v>1</v>
      </c>
      <c r="N74" s="29" t="e">
        <f t="shared" ref="N74:N105" si="21">IF(M74&lt;$T$10+1,SMALL($A$10:$A$60,M74),NA())</f>
        <v>#N/A</v>
      </c>
      <c r="O74" s="29" t="e">
        <f t="shared" ref="O74:O105" si="22">NORMSINV(P74)+5</f>
        <v>#N/A</v>
      </c>
      <c r="P74" s="29" t="e">
        <f t="shared" ref="P74:P105" si="23">IF(M74&lt;$T$10+1,((M74)/($T$10+1)),NA())</f>
        <v>#N/A</v>
      </c>
      <c r="S74" s="30" t="e">
        <f t="shared" ref="S74:S105" si="24">((T74-0.5)/$T$10)</f>
        <v>#VALUE!</v>
      </c>
      <c r="T74" s="43" t="e">
        <f t="shared" ref="T74:T105" si="25">RANK(A10,$A$10:$A$60, 1)</f>
        <v>#VALUE!</v>
      </c>
      <c r="V74" s="28" t="s">
        <v>105</v>
      </c>
      <c r="W74" s="28" t="e">
        <f>SLOPE(I10:I60,K10:K60)</f>
        <v>#DIV/0!</v>
      </c>
    </row>
    <row r="75" spans="1:25">
      <c r="A75" s="28" t="str">
        <f t="shared" si="17"/>
        <v/>
      </c>
      <c r="C75" s="29">
        <v>1E-4</v>
      </c>
      <c r="D75" s="36">
        <f>IF(AND(0.00001&lt;$D$74,$D$74&lt;=0.0001),0.0001,0)</f>
        <v>0</v>
      </c>
      <c r="I75" s="29" t="b">
        <f t="shared" si="18"/>
        <v>0</v>
      </c>
      <c r="J75" s="29" t="str">
        <f t="shared" si="19"/>
        <v/>
      </c>
      <c r="K75" s="29" t="e">
        <f t="shared" si="20"/>
        <v>#VALUE!</v>
      </c>
      <c r="M75" s="29">
        <v>2</v>
      </c>
      <c r="N75" s="29" t="e">
        <f t="shared" si="21"/>
        <v>#N/A</v>
      </c>
      <c r="O75" s="29" t="e">
        <f t="shared" si="22"/>
        <v>#N/A</v>
      </c>
      <c r="P75" s="29" t="e">
        <f t="shared" si="23"/>
        <v>#N/A</v>
      </c>
      <c r="S75" s="30" t="e">
        <f t="shared" si="24"/>
        <v>#VALUE!</v>
      </c>
      <c r="T75" s="43" t="e">
        <f t="shared" si="25"/>
        <v>#VALUE!</v>
      </c>
      <c r="V75" s="28" t="s">
        <v>106</v>
      </c>
      <c r="W75" s="28" t="e">
        <f>INTERCEPT(I10:I60,K10:K60)</f>
        <v>#DIV/0!</v>
      </c>
    </row>
    <row r="76" spans="1:25">
      <c r="A76" s="28" t="str">
        <f t="shared" si="17"/>
        <v/>
      </c>
      <c r="C76" s="29">
        <v>1E-3</v>
      </c>
      <c r="D76" s="29">
        <f>IF(AND(0.0001&lt;$D$74,$D$74&lt;=0.001),0.001,0)</f>
        <v>0</v>
      </c>
      <c r="I76" s="29" t="b">
        <f t="shared" si="18"/>
        <v>0</v>
      </c>
      <c r="J76" s="29" t="str">
        <f t="shared" si="19"/>
        <v/>
      </c>
      <c r="K76" s="29" t="e">
        <f t="shared" si="20"/>
        <v>#VALUE!</v>
      </c>
      <c r="M76" s="29">
        <v>3</v>
      </c>
      <c r="N76" s="29" t="e">
        <f t="shared" si="21"/>
        <v>#N/A</v>
      </c>
      <c r="O76" s="29" t="e">
        <f t="shared" si="22"/>
        <v>#N/A</v>
      </c>
      <c r="P76" s="29" t="e">
        <f t="shared" si="23"/>
        <v>#N/A</v>
      </c>
      <c r="S76" s="30" t="e">
        <f t="shared" si="24"/>
        <v>#VALUE!</v>
      </c>
      <c r="T76" s="43" t="e">
        <f t="shared" si="25"/>
        <v>#VALUE!</v>
      </c>
    </row>
    <row r="77" spans="1:25">
      <c r="A77" s="28" t="str">
        <f t="shared" si="17"/>
        <v/>
      </c>
      <c r="C77" s="29">
        <v>0.01</v>
      </c>
      <c r="D77" s="29">
        <f>IF(AND(0.001&lt;$D$74,$D$74&lt;=0.01),0.01,0)</f>
        <v>0</v>
      </c>
      <c r="I77" s="29" t="b">
        <f t="shared" si="18"/>
        <v>0</v>
      </c>
      <c r="J77" s="29" t="str">
        <f t="shared" si="19"/>
        <v/>
      </c>
      <c r="K77" s="29" t="e">
        <f t="shared" si="20"/>
        <v>#VALUE!</v>
      </c>
      <c r="M77" s="29">
        <v>4</v>
      </c>
      <c r="N77" s="29" t="e">
        <f t="shared" si="21"/>
        <v>#N/A</v>
      </c>
      <c r="O77" s="29" t="e">
        <f t="shared" si="22"/>
        <v>#N/A</v>
      </c>
      <c r="P77" s="29" t="e">
        <f t="shared" si="23"/>
        <v>#N/A</v>
      </c>
      <c r="S77" s="30" t="e">
        <f t="shared" si="24"/>
        <v>#VALUE!</v>
      </c>
      <c r="T77" s="43" t="e">
        <f t="shared" si="25"/>
        <v>#VALUE!</v>
      </c>
      <c r="V77" s="28" t="s">
        <v>107</v>
      </c>
      <c r="W77" s="28" t="s">
        <v>57</v>
      </c>
      <c r="X77" s="28" t="s">
        <v>108</v>
      </c>
      <c r="Y77" s="28" t="s">
        <v>119</v>
      </c>
    </row>
    <row r="78" spans="1:25">
      <c r="A78" s="28" t="str">
        <f t="shared" si="17"/>
        <v/>
      </c>
      <c r="C78" s="29">
        <v>0.1</v>
      </c>
      <c r="D78" s="29">
        <f>IF(AND(0.01&lt;$D$74,$D$74&lt;=0.1),0.1,0)</f>
        <v>0</v>
      </c>
      <c r="I78" s="29" t="b">
        <f t="shared" si="18"/>
        <v>0</v>
      </c>
      <c r="J78" s="29" t="str">
        <f t="shared" si="19"/>
        <v/>
      </c>
      <c r="K78" s="29" t="e">
        <f t="shared" si="20"/>
        <v>#VALUE!</v>
      </c>
      <c r="M78" s="29">
        <v>5</v>
      </c>
      <c r="N78" s="29" t="e">
        <f t="shared" si="21"/>
        <v>#N/A</v>
      </c>
      <c r="O78" s="29" t="e">
        <f t="shared" si="22"/>
        <v>#N/A</v>
      </c>
      <c r="P78" s="29" t="e">
        <f t="shared" si="23"/>
        <v>#N/A</v>
      </c>
      <c r="S78" s="30" t="e">
        <f t="shared" si="24"/>
        <v>#VALUE!</v>
      </c>
      <c r="T78" s="43" t="e">
        <f t="shared" si="25"/>
        <v>#VALUE!</v>
      </c>
      <c r="V78" s="28" t="s">
        <v>120</v>
      </c>
      <c r="W78" s="41" t="e">
        <f>EXP(Y78)</f>
        <v>#DIV/0!</v>
      </c>
      <c r="X78" s="28">
        <v>2.5</v>
      </c>
      <c r="Y78" s="28" t="e">
        <f>(X78-W75)/W74</f>
        <v>#DIV/0!</v>
      </c>
    </row>
    <row r="79" spans="1:25">
      <c r="A79" s="28" t="str">
        <f t="shared" si="17"/>
        <v/>
      </c>
      <c r="C79" s="29">
        <v>1</v>
      </c>
      <c r="D79" s="29">
        <f>IF(AND(0.1&lt;$D$74,$D$74&lt;=1),1,0)</f>
        <v>0</v>
      </c>
      <c r="I79" s="29" t="b">
        <f t="shared" si="18"/>
        <v>0</v>
      </c>
      <c r="J79" s="29" t="str">
        <f t="shared" si="19"/>
        <v/>
      </c>
      <c r="K79" s="29" t="e">
        <f t="shared" si="20"/>
        <v>#VALUE!</v>
      </c>
      <c r="M79" s="29">
        <v>6</v>
      </c>
      <c r="N79" s="29" t="e">
        <f t="shared" si="21"/>
        <v>#N/A</v>
      </c>
      <c r="O79" s="29" t="e">
        <f t="shared" si="22"/>
        <v>#N/A</v>
      </c>
      <c r="P79" s="29" t="e">
        <f t="shared" si="23"/>
        <v>#N/A</v>
      </c>
      <c r="S79" s="30" t="e">
        <f t="shared" si="24"/>
        <v>#VALUE!</v>
      </c>
      <c r="T79" s="43" t="e">
        <f t="shared" si="25"/>
        <v>#VALUE!</v>
      </c>
      <c r="V79" s="28" t="s">
        <v>121</v>
      </c>
      <c r="W79" s="41" t="e">
        <f>EXP(Y79)</f>
        <v>#DIV/0!</v>
      </c>
      <c r="X79" s="28">
        <v>7.33</v>
      </c>
      <c r="Y79" s="28" t="e">
        <f>(X79-W75)/W74</f>
        <v>#DIV/0!</v>
      </c>
    </row>
    <row r="80" spans="1:25">
      <c r="A80" s="28" t="str">
        <f t="shared" si="17"/>
        <v/>
      </c>
      <c r="C80" s="29">
        <v>10</v>
      </c>
      <c r="D80" s="29">
        <f>IF(AND(1&lt;$D$74,$D$74&lt;=10),10,0)</f>
        <v>0</v>
      </c>
      <c r="I80" s="29" t="b">
        <f t="shared" si="18"/>
        <v>0</v>
      </c>
      <c r="J80" s="29" t="str">
        <f t="shared" si="19"/>
        <v/>
      </c>
      <c r="K80" s="29" t="e">
        <f t="shared" si="20"/>
        <v>#VALUE!</v>
      </c>
      <c r="M80" s="29">
        <v>7</v>
      </c>
      <c r="N80" s="29" t="e">
        <f t="shared" si="21"/>
        <v>#N/A</v>
      </c>
      <c r="O80" s="29" t="e">
        <f t="shared" si="22"/>
        <v>#N/A</v>
      </c>
      <c r="P80" s="29" t="e">
        <f t="shared" si="23"/>
        <v>#N/A</v>
      </c>
      <c r="S80" s="30" t="e">
        <f t="shared" si="24"/>
        <v>#VALUE!</v>
      </c>
      <c r="T80" s="43" t="e">
        <f t="shared" si="25"/>
        <v>#VALUE!</v>
      </c>
    </row>
    <row r="81" spans="1:31">
      <c r="A81" s="28">
        <f t="shared" si="17"/>
        <v>0</v>
      </c>
      <c r="C81" s="29">
        <v>100</v>
      </c>
      <c r="D81" s="29">
        <f>IF(AND(10&lt;$D$74,$D$74&lt;=100),100,0)</f>
        <v>0</v>
      </c>
      <c r="I81" s="29" t="b">
        <f t="shared" si="18"/>
        <v>0</v>
      </c>
      <c r="J81" s="29" t="e">
        <f t="shared" si="19"/>
        <v>#N/A</v>
      </c>
      <c r="K81" s="29" t="e">
        <f t="shared" si="20"/>
        <v>#N/A</v>
      </c>
      <c r="M81" s="29">
        <v>8</v>
      </c>
      <c r="N81" s="29" t="e">
        <f t="shared" si="21"/>
        <v>#N/A</v>
      </c>
      <c r="O81" s="29" t="e">
        <f t="shared" si="22"/>
        <v>#N/A</v>
      </c>
      <c r="P81" s="29" t="e">
        <f t="shared" si="23"/>
        <v>#N/A</v>
      </c>
      <c r="S81" s="30" t="e">
        <f t="shared" si="24"/>
        <v>#N/A</v>
      </c>
      <c r="T81" s="43" t="e">
        <f t="shared" si="25"/>
        <v>#N/A</v>
      </c>
    </row>
    <row r="82" spans="1:31">
      <c r="A82" s="28">
        <f t="shared" si="17"/>
        <v>0</v>
      </c>
      <c r="C82" s="29">
        <v>1000</v>
      </c>
      <c r="D82" s="29">
        <f>IF(AND(100&lt;$D$74,$D$74&lt;=1000),1000,0)</f>
        <v>0</v>
      </c>
      <c r="I82" s="29" t="b">
        <f t="shared" si="18"/>
        <v>0</v>
      </c>
      <c r="J82" s="29" t="e">
        <f t="shared" si="19"/>
        <v>#N/A</v>
      </c>
      <c r="K82" s="29" t="e">
        <f t="shared" si="20"/>
        <v>#N/A</v>
      </c>
      <c r="M82" s="29">
        <v>9</v>
      </c>
      <c r="N82" s="29" t="e">
        <f t="shared" si="21"/>
        <v>#N/A</v>
      </c>
      <c r="O82" s="29" t="e">
        <f t="shared" si="22"/>
        <v>#N/A</v>
      </c>
      <c r="P82" s="29" t="e">
        <f t="shared" si="23"/>
        <v>#N/A</v>
      </c>
      <c r="S82" s="30" t="e">
        <f t="shared" si="24"/>
        <v>#N/A</v>
      </c>
      <c r="T82" s="43" t="e">
        <f t="shared" si="25"/>
        <v>#N/A</v>
      </c>
      <c r="Z82" s="28" t="s">
        <v>122</v>
      </c>
      <c r="AD82" s="28" t="s">
        <v>123</v>
      </c>
    </row>
    <row r="83" spans="1:31">
      <c r="A83" s="28">
        <f t="shared" si="17"/>
        <v>0</v>
      </c>
      <c r="C83" s="29">
        <v>10000</v>
      </c>
      <c r="D83" s="29">
        <f>IF(AND(1000&lt;$D$74,$D$74&lt;=10000),10000,0)</f>
        <v>0</v>
      </c>
      <c r="I83" s="29" t="b">
        <f t="shared" si="18"/>
        <v>0</v>
      </c>
      <c r="J83" s="29" t="e">
        <f t="shared" si="19"/>
        <v>#N/A</v>
      </c>
      <c r="K83" s="29" t="e">
        <f t="shared" si="20"/>
        <v>#N/A</v>
      </c>
      <c r="M83" s="29">
        <v>10</v>
      </c>
      <c r="N83" s="29" t="e">
        <f t="shared" si="21"/>
        <v>#N/A</v>
      </c>
      <c r="O83" s="29" t="e">
        <f t="shared" si="22"/>
        <v>#N/A</v>
      </c>
      <c r="P83" s="29" t="e">
        <f t="shared" si="23"/>
        <v>#N/A</v>
      </c>
      <c r="S83" s="30" t="e">
        <f t="shared" si="24"/>
        <v>#N/A</v>
      </c>
      <c r="T83" s="43" t="e">
        <f t="shared" si="25"/>
        <v>#N/A</v>
      </c>
      <c r="V83" s="28" t="s">
        <v>124</v>
      </c>
      <c r="X83" s="28" t="s">
        <v>125</v>
      </c>
      <c r="Z83" s="28" t="s">
        <v>126</v>
      </c>
      <c r="AA83" s="28">
        <f>NORMSINV(0.95)</f>
        <v>1.6448536269514715</v>
      </c>
      <c r="AD83" s="28" t="s">
        <v>127</v>
      </c>
      <c r="AE83" s="38">
        <f>T10</f>
        <v>0</v>
      </c>
    </row>
    <row r="84" spans="1:31">
      <c r="A84" s="28">
        <f t="shared" si="17"/>
        <v>0</v>
      </c>
      <c r="D84" s="36">
        <f>SUM(D75:D83)</f>
        <v>0</v>
      </c>
      <c r="I84" s="29" t="b">
        <f t="shared" si="18"/>
        <v>0</v>
      </c>
      <c r="J84" s="29" t="e">
        <f t="shared" si="19"/>
        <v>#N/A</v>
      </c>
      <c r="K84" s="29" t="e">
        <f t="shared" si="20"/>
        <v>#N/A</v>
      </c>
      <c r="M84" s="29">
        <v>11</v>
      </c>
      <c r="N84" s="29" t="e">
        <f t="shared" si="21"/>
        <v>#N/A</v>
      </c>
      <c r="O84" s="29" t="e">
        <f t="shared" si="22"/>
        <v>#N/A</v>
      </c>
      <c r="P84" s="29" t="e">
        <f t="shared" si="23"/>
        <v>#N/A</v>
      </c>
      <c r="S84" s="30" t="e">
        <f t="shared" si="24"/>
        <v>#N/A</v>
      </c>
      <c r="T84" s="43" t="e">
        <f t="shared" si="25"/>
        <v>#N/A</v>
      </c>
      <c r="V84" s="28" t="s">
        <v>128</v>
      </c>
      <c r="W84" s="38" t="e">
        <f>T20</f>
        <v>#DIV/0!</v>
      </c>
      <c r="Z84" s="28" t="s">
        <v>129</v>
      </c>
      <c r="AA84" s="28" t="e">
        <f>NORMSINV(LOGNORMDIST($B$6,$W$84,$W$85))</f>
        <v>#DIV/0!</v>
      </c>
      <c r="AB84" s="28" t="e">
        <f>LOGNORMDIST($B$6,$W$84,$W$85)</f>
        <v>#DIV/0!</v>
      </c>
      <c r="AD84" s="28" t="s">
        <v>130</v>
      </c>
      <c r="AE84" s="38" t="e">
        <f>T20</f>
        <v>#DIV/0!</v>
      </c>
    </row>
    <row r="85" spans="1:31">
      <c r="A85" s="28">
        <f t="shared" si="17"/>
        <v>0</v>
      </c>
      <c r="I85" s="29" t="b">
        <f t="shared" si="18"/>
        <v>0</v>
      </c>
      <c r="J85" s="29" t="e">
        <f t="shared" si="19"/>
        <v>#N/A</v>
      </c>
      <c r="K85" s="29" t="e">
        <f t="shared" si="20"/>
        <v>#N/A</v>
      </c>
      <c r="M85" s="29">
        <v>12</v>
      </c>
      <c r="N85" s="29" t="e">
        <f t="shared" si="21"/>
        <v>#N/A</v>
      </c>
      <c r="O85" s="29" t="e">
        <f t="shared" si="22"/>
        <v>#N/A</v>
      </c>
      <c r="P85" s="29" t="e">
        <f t="shared" si="23"/>
        <v>#N/A</v>
      </c>
      <c r="S85" s="30" t="e">
        <f t="shared" si="24"/>
        <v>#N/A</v>
      </c>
      <c r="T85" s="43" t="e">
        <f t="shared" si="25"/>
        <v>#N/A</v>
      </c>
      <c r="V85" s="28" t="s">
        <v>131</v>
      </c>
      <c r="W85" s="38" t="e">
        <f>T21</f>
        <v>#DIV/0!</v>
      </c>
      <c r="Z85" s="28" t="s">
        <v>132</v>
      </c>
      <c r="AA85" s="28">
        <f>(1/((2*$W$86)-3))-(1/($AA$83^2))</f>
        <v>-0.7029448428015288</v>
      </c>
      <c r="AD85" s="28" t="s">
        <v>133</v>
      </c>
      <c r="AE85" s="38" t="e">
        <f>T21</f>
        <v>#DIV/0!</v>
      </c>
    </row>
    <row r="86" spans="1:31">
      <c r="A86" s="28">
        <f t="shared" si="17"/>
        <v>0</v>
      </c>
      <c r="I86" s="29" t="b">
        <f t="shared" si="18"/>
        <v>0</v>
      </c>
      <c r="J86" s="29" t="e">
        <f t="shared" si="19"/>
        <v>#N/A</v>
      </c>
      <c r="K86" s="29" t="e">
        <f t="shared" si="20"/>
        <v>#N/A</v>
      </c>
      <c r="M86" s="29">
        <v>13</v>
      </c>
      <c r="N86" s="29" t="e">
        <f t="shared" si="21"/>
        <v>#N/A</v>
      </c>
      <c r="O86" s="29" t="e">
        <f t="shared" si="22"/>
        <v>#N/A</v>
      </c>
      <c r="P86" s="29" t="e">
        <f t="shared" si="23"/>
        <v>#N/A</v>
      </c>
      <c r="S86" s="30" t="e">
        <f t="shared" si="24"/>
        <v>#N/A</v>
      </c>
      <c r="T86" s="43" t="e">
        <f t="shared" si="25"/>
        <v>#N/A</v>
      </c>
      <c r="V86" s="28" t="s">
        <v>127</v>
      </c>
      <c r="W86" s="38">
        <f>T10</f>
        <v>0</v>
      </c>
      <c r="Z86" s="28" t="s">
        <v>134</v>
      </c>
      <c r="AA86" s="28" t="e">
        <f>((2*$AA$84)/($AA$83^2))*SQRT(((2*$W$86)-3)/((2*$W$86)-2))</f>
        <v>#DIV/0!</v>
      </c>
      <c r="AD86" s="28" t="s">
        <v>135</v>
      </c>
      <c r="AE86" s="28" t="e">
        <f>VLOOKUP(AE83,AD96:AE143,2)</f>
        <v>#N/A</v>
      </c>
    </row>
    <row r="87" spans="1:31">
      <c r="A87" s="28">
        <f t="shared" si="17"/>
        <v>0</v>
      </c>
      <c r="I87" s="29" t="b">
        <f t="shared" si="18"/>
        <v>0</v>
      </c>
      <c r="J87" s="29" t="e">
        <f t="shared" si="19"/>
        <v>#N/A</v>
      </c>
      <c r="K87" s="29" t="e">
        <f t="shared" si="20"/>
        <v>#N/A</v>
      </c>
      <c r="M87" s="29">
        <v>14</v>
      </c>
      <c r="N87" s="29" t="e">
        <f t="shared" si="21"/>
        <v>#N/A</v>
      </c>
      <c r="O87" s="29" t="e">
        <f t="shared" si="22"/>
        <v>#N/A</v>
      </c>
      <c r="P87" s="29" t="e">
        <f t="shared" si="23"/>
        <v>#N/A</v>
      </c>
      <c r="S87" s="30" t="e">
        <f t="shared" si="24"/>
        <v>#N/A</v>
      </c>
      <c r="T87" s="43" t="e">
        <f t="shared" si="25"/>
        <v>#N/A</v>
      </c>
      <c r="V87" s="28" t="s">
        <v>136</v>
      </c>
      <c r="W87" s="28" t="e">
        <f>((W85)^2)/2</f>
        <v>#DIV/0!</v>
      </c>
      <c r="Z87" s="28" t="s">
        <v>137</v>
      </c>
      <c r="AA87" s="28" t="e">
        <f>(1/$W$86)-((($AA$84^2)/($AA$83^2))*(((2*$W$86)-3)/((2*$W$86)-2)))</f>
        <v>#DIV/0!</v>
      </c>
      <c r="AD87" s="28" t="s">
        <v>138</v>
      </c>
      <c r="AE87" s="28" t="e">
        <f>EXP(AE84+(AE86*AE85))</f>
        <v>#DIV/0!</v>
      </c>
    </row>
    <row r="88" spans="1:31">
      <c r="A88" s="28">
        <f t="shared" si="17"/>
        <v>0</v>
      </c>
      <c r="I88" s="29" t="b">
        <f t="shared" si="18"/>
        <v>0</v>
      </c>
      <c r="J88" s="29" t="e">
        <f t="shared" si="19"/>
        <v>#N/A</v>
      </c>
      <c r="K88" s="29" t="e">
        <f t="shared" si="20"/>
        <v>#N/A</v>
      </c>
      <c r="M88" s="29">
        <v>15</v>
      </c>
      <c r="N88" s="29" t="e">
        <f t="shared" si="21"/>
        <v>#N/A</v>
      </c>
      <c r="O88" s="29" t="e">
        <f t="shared" si="22"/>
        <v>#N/A</v>
      </c>
      <c r="P88" s="29" t="e">
        <f t="shared" si="23"/>
        <v>#N/A</v>
      </c>
      <c r="S88" s="30" t="e">
        <f t="shared" si="24"/>
        <v>#N/A</v>
      </c>
      <c r="T88" s="43" t="e">
        <f t="shared" si="25"/>
        <v>#N/A</v>
      </c>
      <c r="W88" s="28">
        <v>1</v>
      </c>
      <c r="X88" s="28">
        <v>1</v>
      </c>
    </row>
    <row r="89" spans="1:31">
      <c r="A89" s="28">
        <f t="shared" si="17"/>
        <v>0</v>
      </c>
      <c r="I89" s="29" t="b">
        <f t="shared" si="18"/>
        <v>0</v>
      </c>
      <c r="J89" s="29" t="e">
        <f t="shared" si="19"/>
        <v>#N/A</v>
      </c>
      <c r="K89" s="29" t="e">
        <f t="shared" si="20"/>
        <v>#N/A</v>
      </c>
      <c r="M89" s="29">
        <v>16</v>
      </c>
      <c r="N89" s="29" t="e">
        <f t="shared" si="21"/>
        <v>#N/A</v>
      </c>
      <c r="O89" s="29" t="e">
        <f t="shared" si="22"/>
        <v>#N/A</v>
      </c>
      <c r="P89" s="29" t="e">
        <f t="shared" si="23"/>
        <v>#N/A</v>
      </c>
      <c r="S89" s="30" t="e">
        <f t="shared" si="24"/>
        <v>#N/A</v>
      </c>
      <c r="T89" s="43" t="e">
        <f t="shared" si="25"/>
        <v>#N/A</v>
      </c>
      <c r="V89" s="28" t="s">
        <v>139</v>
      </c>
      <c r="W89" s="28" t="e">
        <f>($W$86-1)*((($W$85)^2)/2)/$W$86</f>
        <v>#DIV/0!</v>
      </c>
      <c r="X89" s="28" t="e">
        <f>($W$86-1)*$W$87/$W$86</f>
        <v>#DIV/0!</v>
      </c>
      <c r="Z89" s="28" t="s">
        <v>140</v>
      </c>
      <c r="AA89" s="28" t="e">
        <f>$AA$86^2</f>
        <v>#DIV/0!</v>
      </c>
    </row>
    <row r="90" spans="1:31">
      <c r="A90" s="28">
        <f t="shared" si="17"/>
        <v>0</v>
      </c>
      <c r="I90" s="29" t="b">
        <f t="shared" si="18"/>
        <v>0</v>
      </c>
      <c r="J90" s="29" t="e">
        <f t="shared" si="19"/>
        <v>#N/A</v>
      </c>
      <c r="K90" s="29" t="e">
        <f t="shared" si="20"/>
        <v>#N/A</v>
      </c>
      <c r="M90" s="29">
        <v>17</v>
      </c>
      <c r="N90" s="29" t="e">
        <f t="shared" si="21"/>
        <v>#N/A</v>
      </c>
      <c r="O90" s="29" t="e">
        <f t="shared" si="22"/>
        <v>#N/A</v>
      </c>
      <c r="P90" s="29" t="e">
        <f t="shared" si="23"/>
        <v>#N/A</v>
      </c>
      <c r="S90" s="30" t="e">
        <f t="shared" si="24"/>
        <v>#N/A</v>
      </c>
      <c r="T90" s="43" t="e">
        <f t="shared" si="25"/>
        <v>#N/A</v>
      </c>
      <c r="V90" s="28" t="s">
        <v>141</v>
      </c>
      <c r="W90" s="28" t="e">
        <f>(($W$86-1)^3)*(((($W$85)^2)/2)^2)/(FACT(2)*(($W$86)^2)*($W$86+1))</f>
        <v>#DIV/0!</v>
      </c>
      <c r="X90" s="28" t="e">
        <f>(($W$86-1)^3)*(($W$87)^2)/((FACT(2))*(($W$86)^2)*($W$86+1))</f>
        <v>#DIV/0!</v>
      </c>
      <c r="Z90" s="28" t="s">
        <v>142</v>
      </c>
      <c r="AA90" s="28" t="e">
        <f>4*$AA$85*$AA$87</f>
        <v>#DIV/0!</v>
      </c>
      <c r="AB90" s="28" t="e">
        <f>AB91+AA90</f>
        <v>#DIV/0!</v>
      </c>
    </row>
    <row r="91" spans="1:31">
      <c r="A91" s="28">
        <f t="shared" si="17"/>
        <v>0</v>
      </c>
      <c r="I91" s="29" t="b">
        <f t="shared" si="18"/>
        <v>0</v>
      </c>
      <c r="J91" s="29" t="e">
        <f t="shared" si="19"/>
        <v>#N/A</v>
      </c>
      <c r="K91" s="29" t="e">
        <f t="shared" si="20"/>
        <v>#N/A</v>
      </c>
      <c r="M91" s="29">
        <v>18</v>
      </c>
      <c r="N91" s="29" t="e">
        <f t="shared" si="21"/>
        <v>#N/A</v>
      </c>
      <c r="O91" s="29" t="e">
        <f t="shared" si="22"/>
        <v>#N/A</v>
      </c>
      <c r="P91" s="29" t="e">
        <f t="shared" si="23"/>
        <v>#N/A</v>
      </c>
      <c r="S91" s="30" t="e">
        <f t="shared" si="24"/>
        <v>#N/A</v>
      </c>
      <c r="T91" s="43" t="e">
        <f t="shared" si="25"/>
        <v>#N/A</v>
      </c>
      <c r="V91" s="28" t="s">
        <v>143</v>
      </c>
      <c r="W91" s="28" t="e">
        <f>(($W$86-1)^5)*(((($W$85)^2)/2)^3)/(FACT(3)*(($W$86)^3)*($W$86+1)*($W$86+3))</f>
        <v>#DIV/0!</v>
      </c>
      <c r="X91" s="28" t="e">
        <f>(($W$86-1)^5)*(($W$87)^3)/((FACT(3))*(($W$86)^3)*($W$86+1)*($W$86+3))</f>
        <v>#DIV/0!</v>
      </c>
      <c r="Z91" s="28" t="s">
        <v>144</v>
      </c>
      <c r="AA91" s="28" t="e">
        <f>SQRT($AA$89-$AA$90)</f>
        <v>#DIV/0!</v>
      </c>
      <c r="AB91" s="28" t="e">
        <f>AA91^2</f>
        <v>#DIV/0!</v>
      </c>
    </row>
    <row r="92" spans="1:31">
      <c r="A92" s="28">
        <f t="shared" si="17"/>
        <v>0</v>
      </c>
      <c r="I92" s="29" t="b">
        <f t="shared" si="18"/>
        <v>0</v>
      </c>
      <c r="J92" s="29" t="e">
        <f t="shared" si="19"/>
        <v>#N/A</v>
      </c>
      <c r="K92" s="29" t="e">
        <f t="shared" si="20"/>
        <v>#N/A</v>
      </c>
      <c r="M92" s="29">
        <v>19</v>
      </c>
      <c r="N92" s="29" t="e">
        <f t="shared" si="21"/>
        <v>#N/A</v>
      </c>
      <c r="O92" s="29" t="e">
        <f t="shared" si="22"/>
        <v>#N/A</v>
      </c>
      <c r="P92" s="29" t="e">
        <f t="shared" si="23"/>
        <v>#N/A</v>
      </c>
      <c r="S92" s="30" t="e">
        <f t="shared" si="24"/>
        <v>#N/A</v>
      </c>
      <c r="T92" s="43" t="e">
        <f t="shared" si="25"/>
        <v>#N/A</v>
      </c>
      <c r="V92" s="28" t="s">
        <v>145</v>
      </c>
      <c r="W92" s="28" t="e">
        <f>(($W$86-1)^7)*(((($W$85)^2)/2)^4)/(FACT(4)*(($W$86)^4)*($W$86+1)*($W$86+3)*($W$86+5))</f>
        <v>#DIV/0!</v>
      </c>
      <c r="X92" s="28" t="e">
        <f>(($W$86-1)^7)*(($W$87)^4)/((FACT(4))*(($W$86)^4)*($W$86+1)*($W$86+3)*($W$86+5))</f>
        <v>#DIV/0!</v>
      </c>
      <c r="Z92" s="28" t="s">
        <v>146</v>
      </c>
      <c r="AA92" s="28">
        <f>2*$AA$85</f>
        <v>-1.4058896856030576</v>
      </c>
    </row>
    <row r="93" spans="1:31">
      <c r="A93" s="28">
        <f t="shared" si="17"/>
        <v>0</v>
      </c>
      <c r="I93" s="29" t="b">
        <f t="shared" si="18"/>
        <v>0</v>
      </c>
      <c r="J93" s="29" t="e">
        <f t="shared" si="19"/>
        <v>#N/A</v>
      </c>
      <c r="K93" s="29" t="e">
        <f t="shared" si="20"/>
        <v>#N/A</v>
      </c>
      <c r="M93" s="29">
        <v>20</v>
      </c>
      <c r="N93" s="29" t="e">
        <f t="shared" si="21"/>
        <v>#N/A</v>
      </c>
      <c r="O93" s="29" t="e">
        <f t="shared" si="22"/>
        <v>#N/A</v>
      </c>
      <c r="P93" s="29" t="e">
        <f t="shared" si="23"/>
        <v>#N/A</v>
      </c>
      <c r="S93" s="30" t="e">
        <f t="shared" si="24"/>
        <v>#N/A</v>
      </c>
      <c r="T93" s="43" t="e">
        <f t="shared" si="25"/>
        <v>#N/A</v>
      </c>
      <c r="V93" s="28" t="s">
        <v>147</v>
      </c>
      <c r="W93" s="28" t="e">
        <f>(($W$86-1)^9)*(((($W$85)^2)/2)^5)/(FACT(5)*(($W$86)^5)*($W$86+1)*($W$86+3)*($W$86+5)*($W$86+7))</f>
        <v>#DIV/0!</v>
      </c>
      <c r="X93" s="28" t="e">
        <f>(($W$86-1)^9)*(($W$87)^5)/((FACT(5))*(($W$86)^5)*($W$86+1)*($W$86+3)*($W$86+5)*($W$86+7))</f>
        <v>#DIV/0!</v>
      </c>
      <c r="Z93" s="28" t="s">
        <v>148</v>
      </c>
      <c r="AA93" s="28" t="e">
        <f>(-$AA$86-$AA$91)/$AA$92</f>
        <v>#DIV/0!</v>
      </c>
      <c r="AB93" s="28" t="e">
        <f>(-$AA$86+$AA$91)/$AA$92</f>
        <v>#DIV/0!</v>
      </c>
    </row>
    <row r="94" spans="1:31">
      <c r="A94" s="28">
        <f t="shared" si="17"/>
        <v>0</v>
      </c>
      <c r="I94" s="29" t="b">
        <f t="shared" si="18"/>
        <v>0</v>
      </c>
      <c r="J94" s="29" t="e">
        <f t="shared" si="19"/>
        <v>#N/A</v>
      </c>
      <c r="K94" s="29" t="e">
        <f t="shared" si="20"/>
        <v>#N/A</v>
      </c>
      <c r="M94" s="29">
        <v>21</v>
      </c>
      <c r="N94" s="29" t="e">
        <f t="shared" si="21"/>
        <v>#N/A</v>
      </c>
      <c r="O94" s="29" t="e">
        <f t="shared" si="22"/>
        <v>#N/A</v>
      </c>
      <c r="P94" s="29" t="e">
        <f t="shared" si="23"/>
        <v>#N/A</v>
      </c>
      <c r="S94" s="30" t="e">
        <f t="shared" si="24"/>
        <v>#N/A</v>
      </c>
      <c r="T94" s="43" t="e">
        <f t="shared" si="25"/>
        <v>#N/A</v>
      </c>
      <c r="V94" s="28" t="s">
        <v>149</v>
      </c>
      <c r="X94" s="28" t="e">
        <f>(($W$86-1)^11)*(($W$87)^6)/((FACT(6))*(($W$86)^6)*($W$86+1)*($W$86+3)*($W$86+5)*($W$86+7)*($W$86+9))</f>
        <v>#DIV/0!</v>
      </c>
      <c r="Z94" s="28" t="s">
        <v>150</v>
      </c>
      <c r="AA94" s="28" t="e">
        <f>100*(1-NORMSDIST($AA$93))</f>
        <v>#DIV/0!</v>
      </c>
      <c r="AB94" s="28" t="e">
        <f>100*(1-NORMSDIST($AB$93))</f>
        <v>#DIV/0!</v>
      </c>
      <c r="AD94" s="28" t="s">
        <v>151</v>
      </c>
    </row>
    <row r="95" spans="1:31">
      <c r="A95" s="28">
        <f t="shared" si="17"/>
        <v>0</v>
      </c>
      <c r="I95" s="29" t="b">
        <f t="shared" si="18"/>
        <v>0</v>
      </c>
      <c r="J95" s="29" t="e">
        <f t="shared" si="19"/>
        <v>#N/A</v>
      </c>
      <c r="K95" s="29" t="e">
        <f t="shared" si="20"/>
        <v>#N/A</v>
      </c>
      <c r="M95" s="29">
        <v>22</v>
      </c>
      <c r="N95" s="29" t="e">
        <f t="shared" si="21"/>
        <v>#N/A</v>
      </c>
      <c r="O95" s="29" t="e">
        <f t="shared" si="22"/>
        <v>#N/A</v>
      </c>
      <c r="P95" s="29" t="e">
        <f t="shared" si="23"/>
        <v>#N/A</v>
      </c>
      <c r="S95" s="30" t="e">
        <f t="shared" si="24"/>
        <v>#N/A</v>
      </c>
      <c r="T95" s="43" t="e">
        <f t="shared" si="25"/>
        <v>#N/A</v>
      </c>
      <c r="V95" s="28" t="s">
        <v>152</v>
      </c>
      <c r="W95" s="28" t="e">
        <f>SUM(W88:W93)</f>
        <v>#DIV/0!</v>
      </c>
      <c r="X95" s="28" t="e">
        <f>SUM(X88:X94)</f>
        <v>#DIV/0!</v>
      </c>
      <c r="AD95" s="28" t="s">
        <v>127</v>
      </c>
      <c r="AE95" s="28" t="s">
        <v>153</v>
      </c>
    </row>
    <row r="96" spans="1:31">
      <c r="A96" s="28">
        <f t="shared" si="17"/>
        <v>0</v>
      </c>
      <c r="I96" s="29" t="b">
        <f t="shared" si="18"/>
        <v>0</v>
      </c>
      <c r="J96" s="29" t="e">
        <f t="shared" si="19"/>
        <v>#N/A</v>
      </c>
      <c r="K96" s="29" t="e">
        <f t="shared" si="20"/>
        <v>#N/A</v>
      </c>
      <c r="M96" s="29">
        <v>23</v>
      </c>
      <c r="N96" s="29" t="e">
        <f t="shared" si="21"/>
        <v>#N/A</v>
      </c>
      <c r="O96" s="29" t="e">
        <f t="shared" si="22"/>
        <v>#N/A</v>
      </c>
      <c r="P96" s="29" t="e">
        <f t="shared" si="23"/>
        <v>#N/A</v>
      </c>
      <c r="S96" s="30" t="e">
        <f t="shared" si="24"/>
        <v>#N/A</v>
      </c>
      <c r="T96" s="43" t="e">
        <f t="shared" si="25"/>
        <v>#N/A</v>
      </c>
      <c r="V96" s="28" t="s">
        <v>154</v>
      </c>
      <c r="W96" s="28" t="e">
        <f>EXP(W84)*W95</f>
        <v>#DIV/0!</v>
      </c>
      <c r="X96" s="28" t="e">
        <f>EXP(W84)*X95</f>
        <v>#DIV/0!</v>
      </c>
      <c r="AD96" s="28">
        <v>3</v>
      </c>
      <c r="AE96" s="28">
        <v>7.6550000000000002</v>
      </c>
    </row>
    <row r="97" spans="1:31">
      <c r="A97" s="28">
        <f t="shared" si="17"/>
        <v>0</v>
      </c>
      <c r="I97" s="29" t="b">
        <f t="shared" si="18"/>
        <v>0</v>
      </c>
      <c r="J97" s="29" t="e">
        <f t="shared" si="19"/>
        <v>#N/A</v>
      </c>
      <c r="K97" s="29" t="e">
        <f t="shared" si="20"/>
        <v>#N/A</v>
      </c>
      <c r="M97" s="29">
        <v>24</v>
      </c>
      <c r="N97" s="29" t="e">
        <f t="shared" si="21"/>
        <v>#N/A</v>
      </c>
      <c r="O97" s="29" t="e">
        <f t="shared" si="22"/>
        <v>#N/A</v>
      </c>
      <c r="P97" s="29" t="e">
        <f t="shared" si="23"/>
        <v>#N/A</v>
      </c>
      <c r="S97" s="30" t="e">
        <f t="shared" si="24"/>
        <v>#N/A</v>
      </c>
      <c r="T97" s="43" t="e">
        <f t="shared" si="25"/>
        <v>#N/A</v>
      </c>
      <c r="AD97" s="28">
        <v>4</v>
      </c>
      <c r="AE97" s="28">
        <v>5.1449999999999996</v>
      </c>
    </row>
    <row r="98" spans="1:31">
      <c r="A98" s="28">
        <f t="shared" si="17"/>
        <v>0</v>
      </c>
      <c r="I98" s="29" t="b">
        <f t="shared" si="18"/>
        <v>0</v>
      </c>
      <c r="J98" s="29" t="e">
        <f t="shared" si="19"/>
        <v>#N/A</v>
      </c>
      <c r="K98" s="29" t="e">
        <f t="shared" si="20"/>
        <v>#N/A</v>
      </c>
      <c r="M98" s="29">
        <v>25</v>
      </c>
      <c r="N98" s="29" t="e">
        <f t="shared" si="21"/>
        <v>#N/A</v>
      </c>
      <c r="O98" s="29" t="e">
        <f t="shared" si="22"/>
        <v>#N/A</v>
      </c>
      <c r="P98" s="29" t="e">
        <f t="shared" si="23"/>
        <v>#N/A</v>
      </c>
      <c r="S98" s="30" t="e">
        <f t="shared" si="24"/>
        <v>#N/A</v>
      </c>
      <c r="T98" s="43" t="e">
        <f t="shared" si="25"/>
        <v>#N/A</v>
      </c>
      <c r="V98" s="28" t="s">
        <v>155</v>
      </c>
      <c r="W98" s="28" t="e">
        <f>EXP(W84+((W85)^2)/2)</f>
        <v>#DIV/0!</v>
      </c>
      <c r="X98" s="28" t="e">
        <f>EXP(W84)*EXP(W87)</f>
        <v>#DIV/0!</v>
      </c>
      <c r="AD98" s="28">
        <v>5</v>
      </c>
      <c r="AE98" s="28">
        <v>4.202</v>
      </c>
    </row>
    <row r="99" spans="1:31">
      <c r="A99" s="28">
        <f t="shared" si="17"/>
        <v>0</v>
      </c>
      <c r="I99" s="29" t="b">
        <f t="shared" si="18"/>
        <v>0</v>
      </c>
      <c r="J99" s="29" t="e">
        <f t="shared" si="19"/>
        <v>#N/A</v>
      </c>
      <c r="K99" s="29" t="e">
        <f t="shared" si="20"/>
        <v>#N/A</v>
      </c>
      <c r="M99" s="29">
        <v>26</v>
      </c>
      <c r="N99" s="29" t="e">
        <f t="shared" si="21"/>
        <v>#N/A</v>
      </c>
      <c r="O99" s="29" t="e">
        <f t="shared" si="22"/>
        <v>#N/A</v>
      </c>
      <c r="P99" s="29" t="e">
        <f t="shared" si="23"/>
        <v>#N/A</v>
      </c>
      <c r="S99" s="30" t="e">
        <f t="shared" si="24"/>
        <v>#N/A</v>
      </c>
      <c r="T99" s="43" t="e">
        <f t="shared" si="25"/>
        <v>#N/A</v>
      </c>
      <c r="AD99" s="28">
        <v>6</v>
      </c>
      <c r="AE99" s="28">
        <v>3.7069999999999999</v>
      </c>
    </row>
    <row r="100" spans="1:31">
      <c r="A100" s="28">
        <f t="shared" si="17"/>
        <v>0</v>
      </c>
      <c r="I100" s="29" t="b">
        <f t="shared" si="18"/>
        <v>0</v>
      </c>
      <c r="J100" s="29" t="e">
        <f t="shared" si="19"/>
        <v>#N/A</v>
      </c>
      <c r="K100" s="29" t="e">
        <f t="shared" si="20"/>
        <v>#N/A</v>
      </c>
      <c r="M100" s="29">
        <v>27</v>
      </c>
      <c r="N100" s="29" t="e">
        <f t="shared" si="21"/>
        <v>#N/A</v>
      </c>
      <c r="O100" s="29" t="e">
        <f t="shared" si="22"/>
        <v>#N/A</v>
      </c>
      <c r="P100" s="29" t="e">
        <f t="shared" si="23"/>
        <v>#N/A</v>
      </c>
      <c r="S100" s="30" t="e">
        <f t="shared" si="24"/>
        <v>#N/A</v>
      </c>
      <c r="T100" s="43" t="e">
        <f t="shared" si="25"/>
        <v>#N/A</v>
      </c>
      <c r="AD100" s="28">
        <v>7</v>
      </c>
      <c r="AE100" s="28">
        <v>3.399</v>
      </c>
    </row>
    <row r="101" spans="1:31">
      <c r="A101" s="28">
        <f t="shared" si="17"/>
        <v>0</v>
      </c>
      <c r="I101" s="29" t="b">
        <f t="shared" si="18"/>
        <v>0</v>
      </c>
      <c r="J101" s="29" t="e">
        <f t="shared" si="19"/>
        <v>#N/A</v>
      </c>
      <c r="K101" s="29" t="e">
        <f t="shared" si="20"/>
        <v>#N/A</v>
      </c>
      <c r="M101" s="29">
        <v>28</v>
      </c>
      <c r="N101" s="29" t="e">
        <f t="shared" si="21"/>
        <v>#N/A</v>
      </c>
      <c r="O101" s="29" t="e">
        <f t="shared" si="22"/>
        <v>#N/A</v>
      </c>
      <c r="P101" s="29" t="e">
        <f t="shared" si="23"/>
        <v>#N/A</v>
      </c>
      <c r="S101" s="30" t="e">
        <f t="shared" si="24"/>
        <v>#N/A</v>
      </c>
      <c r="T101" s="43" t="e">
        <f t="shared" si="25"/>
        <v>#N/A</v>
      </c>
      <c r="AD101" s="28">
        <v>8</v>
      </c>
      <c r="AE101" s="28">
        <v>3.1880000000000002</v>
      </c>
    </row>
    <row r="102" spans="1:31">
      <c r="A102" s="28">
        <f t="shared" si="17"/>
        <v>0</v>
      </c>
      <c r="I102" s="29" t="b">
        <f t="shared" si="18"/>
        <v>0</v>
      </c>
      <c r="J102" s="29" t="e">
        <f t="shared" si="19"/>
        <v>#N/A</v>
      </c>
      <c r="K102" s="29" t="e">
        <f t="shared" si="20"/>
        <v>#N/A</v>
      </c>
      <c r="M102" s="29">
        <v>29</v>
      </c>
      <c r="N102" s="29" t="e">
        <f t="shared" si="21"/>
        <v>#N/A</v>
      </c>
      <c r="O102" s="29" t="e">
        <f t="shared" si="22"/>
        <v>#N/A</v>
      </c>
      <c r="P102" s="29" t="e">
        <f t="shared" si="23"/>
        <v>#N/A</v>
      </c>
      <c r="S102" s="30" t="e">
        <f t="shared" si="24"/>
        <v>#N/A</v>
      </c>
      <c r="T102" s="43" t="e">
        <f t="shared" si="25"/>
        <v>#N/A</v>
      </c>
      <c r="AD102" s="28">
        <v>9</v>
      </c>
      <c r="AE102" s="28">
        <v>3.0310000000000001</v>
      </c>
    </row>
    <row r="103" spans="1:31">
      <c r="A103" s="28">
        <f t="shared" si="17"/>
        <v>0</v>
      </c>
      <c r="I103" s="29" t="b">
        <f t="shared" si="18"/>
        <v>0</v>
      </c>
      <c r="J103" s="29" t="e">
        <f t="shared" si="19"/>
        <v>#N/A</v>
      </c>
      <c r="K103" s="29" t="e">
        <f t="shared" si="20"/>
        <v>#N/A</v>
      </c>
      <c r="M103" s="29">
        <v>30</v>
      </c>
      <c r="N103" s="29" t="e">
        <f t="shared" si="21"/>
        <v>#N/A</v>
      </c>
      <c r="O103" s="29" t="e">
        <f t="shared" si="22"/>
        <v>#N/A</v>
      </c>
      <c r="P103" s="29" t="e">
        <f t="shared" si="23"/>
        <v>#N/A</v>
      </c>
      <c r="S103" s="30" t="e">
        <f t="shared" si="24"/>
        <v>#N/A</v>
      </c>
      <c r="T103" s="43" t="e">
        <f t="shared" si="25"/>
        <v>#N/A</v>
      </c>
      <c r="AD103" s="28">
        <v>10</v>
      </c>
      <c r="AE103" s="28">
        <v>2.911</v>
      </c>
    </row>
    <row r="104" spans="1:31">
      <c r="A104" s="28">
        <f t="shared" si="17"/>
        <v>0</v>
      </c>
      <c r="I104" s="29" t="b">
        <f t="shared" si="18"/>
        <v>0</v>
      </c>
      <c r="J104" s="29" t="e">
        <f t="shared" si="19"/>
        <v>#N/A</v>
      </c>
      <c r="K104" s="29" t="e">
        <f t="shared" si="20"/>
        <v>#N/A</v>
      </c>
      <c r="M104" s="29">
        <v>31</v>
      </c>
      <c r="N104" s="29" t="e">
        <f t="shared" si="21"/>
        <v>#N/A</v>
      </c>
      <c r="O104" s="29" t="e">
        <f t="shared" si="22"/>
        <v>#N/A</v>
      </c>
      <c r="P104" s="29" t="e">
        <f t="shared" si="23"/>
        <v>#N/A</v>
      </c>
      <c r="S104" s="30" t="e">
        <f t="shared" si="24"/>
        <v>#N/A</v>
      </c>
      <c r="T104" s="43" t="e">
        <f t="shared" si="25"/>
        <v>#N/A</v>
      </c>
      <c r="AD104" s="28">
        <v>11</v>
      </c>
      <c r="AE104" s="28">
        <v>2.8149999999999999</v>
      </c>
    </row>
    <row r="105" spans="1:31">
      <c r="A105" s="28">
        <f t="shared" si="17"/>
        <v>0</v>
      </c>
      <c r="I105" s="29" t="b">
        <f t="shared" si="18"/>
        <v>0</v>
      </c>
      <c r="J105" s="29" t="e">
        <f t="shared" si="19"/>
        <v>#N/A</v>
      </c>
      <c r="K105" s="29" t="e">
        <f t="shared" si="20"/>
        <v>#N/A</v>
      </c>
      <c r="M105" s="29">
        <v>32</v>
      </c>
      <c r="N105" s="29" t="e">
        <f t="shared" si="21"/>
        <v>#N/A</v>
      </c>
      <c r="O105" s="29" t="e">
        <f t="shared" si="22"/>
        <v>#N/A</v>
      </c>
      <c r="P105" s="29" t="e">
        <f t="shared" si="23"/>
        <v>#N/A</v>
      </c>
      <c r="S105" s="30" t="e">
        <f t="shared" si="24"/>
        <v>#N/A</v>
      </c>
      <c r="T105" s="43" t="e">
        <f t="shared" si="25"/>
        <v>#N/A</v>
      </c>
      <c r="AD105" s="28">
        <v>12</v>
      </c>
      <c r="AE105" s="28">
        <v>2.7360000000000002</v>
      </c>
    </row>
    <row r="106" spans="1:31">
      <c r="A106" s="28">
        <f t="shared" ref="A106:A124" si="26">A42</f>
        <v>0</v>
      </c>
      <c r="I106" s="29" t="b">
        <f t="shared" ref="I106:I123" si="27">IF(ISNUMBER(J106),M106)</f>
        <v>0</v>
      </c>
      <c r="J106" s="29" t="e">
        <f t="shared" ref="J106:J123" si="28">IF(A106&gt;0,A106,NA())</f>
        <v>#N/A</v>
      </c>
      <c r="K106" s="29" t="e">
        <f t="shared" ref="K106:K124" si="29">NORMSINV(S106)+5</f>
        <v>#N/A</v>
      </c>
      <c r="M106" s="29">
        <v>33</v>
      </c>
      <c r="N106" s="29" t="e">
        <f t="shared" ref="N106:N123" si="30">IF(M106&lt;$T$10+1,SMALL($A$10:$A$60,M106),NA())</f>
        <v>#N/A</v>
      </c>
      <c r="O106" s="29" t="e">
        <f t="shared" ref="O106:O123" si="31">NORMSINV(P106)+5</f>
        <v>#N/A</v>
      </c>
      <c r="P106" s="29" t="e">
        <f t="shared" ref="P106:P123" si="32">IF(M106&lt;$T$10+1,((M106)/($T$10+1)),NA())</f>
        <v>#N/A</v>
      </c>
      <c r="S106" s="30" t="e">
        <f t="shared" ref="S106:S124" si="33">((T106-0.5)/$T$10)</f>
        <v>#N/A</v>
      </c>
      <c r="T106" s="43" t="e">
        <f t="shared" ref="T106:T124" si="34">RANK(A42,$A$10:$A$60, 1)</f>
        <v>#N/A</v>
      </c>
      <c r="AD106" s="28">
        <v>13</v>
      </c>
      <c r="AE106" s="28">
        <v>2.67</v>
      </c>
    </row>
    <row r="107" spans="1:31">
      <c r="A107" s="28">
        <f t="shared" si="26"/>
        <v>0</v>
      </c>
      <c r="I107" s="29" t="b">
        <f t="shared" si="27"/>
        <v>0</v>
      </c>
      <c r="J107" s="29" t="e">
        <f t="shared" si="28"/>
        <v>#N/A</v>
      </c>
      <c r="K107" s="29" t="e">
        <f t="shared" si="29"/>
        <v>#N/A</v>
      </c>
      <c r="M107" s="29">
        <v>34</v>
      </c>
      <c r="N107" s="29" t="e">
        <f t="shared" si="30"/>
        <v>#N/A</v>
      </c>
      <c r="O107" s="29" t="e">
        <f t="shared" si="31"/>
        <v>#N/A</v>
      </c>
      <c r="P107" s="29" t="e">
        <f t="shared" si="32"/>
        <v>#N/A</v>
      </c>
      <c r="S107" s="30" t="e">
        <f t="shared" si="33"/>
        <v>#N/A</v>
      </c>
      <c r="T107" s="43" t="e">
        <f t="shared" si="34"/>
        <v>#N/A</v>
      </c>
      <c r="AD107" s="28">
        <v>14</v>
      </c>
      <c r="AE107" s="28">
        <v>2.6139999999999999</v>
      </c>
    </row>
    <row r="108" spans="1:31">
      <c r="A108" s="28">
        <f t="shared" si="26"/>
        <v>0</v>
      </c>
      <c r="I108" s="29" t="b">
        <f t="shared" si="27"/>
        <v>0</v>
      </c>
      <c r="J108" s="29" t="e">
        <f t="shared" si="28"/>
        <v>#N/A</v>
      </c>
      <c r="K108" s="29" t="e">
        <f t="shared" si="29"/>
        <v>#N/A</v>
      </c>
      <c r="M108" s="29">
        <v>35</v>
      </c>
      <c r="N108" s="29" t="e">
        <f t="shared" si="30"/>
        <v>#N/A</v>
      </c>
      <c r="O108" s="29" t="e">
        <f t="shared" si="31"/>
        <v>#N/A</v>
      </c>
      <c r="P108" s="29" t="e">
        <f t="shared" si="32"/>
        <v>#N/A</v>
      </c>
      <c r="S108" s="30" t="e">
        <f t="shared" si="33"/>
        <v>#N/A</v>
      </c>
      <c r="T108" s="43" t="e">
        <f t="shared" si="34"/>
        <v>#N/A</v>
      </c>
      <c r="AD108" s="28">
        <v>15</v>
      </c>
      <c r="AE108" s="28">
        <v>2.5659999999999998</v>
      </c>
    </row>
    <row r="109" spans="1:31">
      <c r="A109" s="28">
        <f t="shared" si="26"/>
        <v>0</v>
      </c>
      <c r="I109" s="29" t="b">
        <f t="shared" si="27"/>
        <v>0</v>
      </c>
      <c r="J109" s="29" t="e">
        <f t="shared" si="28"/>
        <v>#N/A</v>
      </c>
      <c r="K109" s="29" t="e">
        <f t="shared" si="29"/>
        <v>#N/A</v>
      </c>
      <c r="M109" s="29">
        <v>36</v>
      </c>
      <c r="N109" s="29" t="e">
        <f t="shared" si="30"/>
        <v>#N/A</v>
      </c>
      <c r="O109" s="29" t="e">
        <f t="shared" si="31"/>
        <v>#N/A</v>
      </c>
      <c r="P109" s="29" t="e">
        <f t="shared" si="32"/>
        <v>#N/A</v>
      </c>
      <c r="S109" s="30" t="e">
        <f t="shared" si="33"/>
        <v>#N/A</v>
      </c>
      <c r="T109" s="43" t="e">
        <f t="shared" si="34"/>
        <v>#N/A</v>
      </c>
      <c r="AD109" s="28">
        <v>16</v>
      </c>
      <c r="AE109" s="28">
        <v>2.5230000000000001</v>
      </c>
    </row>
    <row r="110" spans="1:31">
      <c r="A110" s="28">
        <f t="shared" si="26"/>
        <v>0</v>
      </c>
      <c r="I110" s="29" t="b">
        <f t="shared" si="27"/>
        <v>0</v>
      </c>
      <c r="J110" s="29" t="e">
        <f t="shared" si="28"/>
        <v>#N/A</v>
      </c>
      <c r="K110" s="29" t="e">
        <f t="shared" si="29"/>
        <v>#N/A</v>
      </c>
      <c r="M110" s="29">
        <v>37</v>
      </c>
      <c r="N110" s="29" t="e">
        <f t="shared" si="30"/>
        <v>#N/A</v>
      </c>
      <c r="O110" s="29" t="e">
        <f t="shared" si="31"/>
        <v>#N/A</v>
      </c>
      <c r="P110" s="29" t="e">
        <f t="shared" si="32"/>
        <v>#N/A</v>
      </c>
      <c r="S110" s="30" t="e">
        <f t="shared" si="33"/>
        <v>#N/A</v>
      </c>
      <c r="T110" s="43" t="e">
        <f t="shared" si="34"/>
        <v>#N/A</v>
      </c>
      <c r="AD110" s="28">
        <v>17</v>
      </c>
      <c r="AE110" s="28">
        <v>2.4860000000000002</v>
      </c>
    </row>
    <row r="111" spans="1:31">
      <c r="A111" s="28">
        <f t="shared" si="26"/>
        <v>0</v>
      </c>
      <c r="I111" s="29" t="b">
        <f t="shared" si="27"/>
        <v>0</v>
      </c>
      <c r="J111" s="29" t="e">
        <f t="shared" si="28"/>
        <v>#N/A</v>
      </c>
      <c r="K111" s="29" t="e">
        <f t="shared" si="29"/>
        <v>#N/A</v>
      </c>
      <c r="M111" s="29">
        <v>38</v>
      </c>
      <c r="N111" s="29" t="e">
        <f t="shared" si="30"/>
        <v>#N/A</v>
      </c>
      <c r="O111" s="29" t="e">
        <f t="shared" si="31"/>
        <v>#N/A</v>
      </c>
      <c r="P111" s="29" t="e">
        <f t="shared" si="32"/>
        <v>#N/A</v>
      </c>
      <c r="S111" s="30" t="e">
        <f t="shared" si="33"/>
        <v>#N/A</v>
      </c>
      <c r="T111" s="43" t="e">
        <f t="shared" si="34"/>
        <v>#N/A</v>
      </c>
      <c r="AD111" s="28">
        <v>18</v>
      </c>
      <c r="AE111" s="28">
        <v>2.4529999999999998</v>
      </c>
    </row>
    <row r="112" spans="1:31">
      <c r="A112" s="28">
        <f t="shared" si="26"/>
        <v>0</v>
      </c>
      <c r="I112" s="29" t="b">
        <f t="shared" si="27"/>
        <v>0</v>
      </c>
      <c r="J112" s="29" t="e">
        <f t="shared" si="28"/>
        <v>#N/A</v>
      </c>
      <c r="K112" s="29" t="e">
        <f t="shared" si="29"/>
        <v>#N/A</v>
      </c>
      <c r="M112" s="29">
        <v>39</v>
      </c>
      <c r="N112" s="29" t="e">
        <f t="shared" si="30"/>
        <v>#N/A</v>
      </c>
      <c r="O112" s="29" t="e">
        <f t="shared" si="31"/>
        <v>#N/A</v>
      </c>
      <c r="P112" s="29" t="e">
        <f t="shared" si="32"/>
        <v>#N/A</v>
      </c>
      <c r="S112" s="30" t="e">
        <f t="shared" si="33"/>
        <v>#N/A</v>
      </c>
      <c r="T112" s="43" t="e">
        <f t="shared" si="34"/>
        <v>#N/A</v>
      </c>
      <c r="AD112" s="28">
        <v>19</v>
      </c>
      <c r="AE112" s="28">
        <v>2.423</v>
      </c>
    </row>
    <row r="113" spans="1:32">
      <c r="A113" s="28">
        <f t="shared" si="26"/>
        <v>0</v>
      </c>
      <c r="I113" s="29" t="b">
        <f t="shared" si="27"/>
        <v>0</v>
      </c>
      <c r="J113" s="29" t="e">
        <f t="shared" si="28"/>
        <v>#N/A</v>
      </c>
      <c r="K113" s="29" t="e">
        <f t="shared" si="29"/>
        <v>#N/A</v>
      </c>
      <c r="M113" s="29">
        <v>40</v>
      </c>
      <c r="N113" s="29" t="e">
        <f t="shared" si="30"/>
        <v>#N/A</v>
      </c>
      <c r="O113" s="29" t="e">
        <f t="shared" si="31"/>
        <v>#N/A</v>
      </c>
      <c r="P113" s="29" t="e">
        <f t="shared" si="32"/>
        <v>#N/A</v>
      </c>
      <c r="S113" s="30" t="e">
        <f t="shared" si="33"/>
        <v>#N/A</v>
      </c>
      <c r="T113" s="43" t="e">
        <f t="shared" si="34"/>
        <v>#N/A</v>
      </c>
      <c r="AD113" s="28">
        <v>20</v>
      </c>
      <c r="AE113" s="28">
        <v>2.3959999999999999</v>
      </c>
    </row>
    <row r="114" spans="1:32">
      <c r="A114" s="28">
        <f t="shared" si="26"/>
        <v>0</v>
      </c>
      <c r="I114" s="29" t="b">
        <f t="shared" si="27"/>
        <v>0</v>
      </c>
      <c r="J114" s="29" t="e">
        <f t="shared" si="28"/>
        <v>#N/A</v>
      </c>
      <c r="K114" s="29" t="e">
        <f t="shared" si="29"/>
        <v>#N/A</v>
      </c>
      <c r="M114" s="29">
        <v>41</v>
      </c>
      <c r="N114" s="29" t="e">
        <f t="shared" si="30"/>
        <v>#N/A</v>
      </c>
      <c r="O114" s="29" t="e">
        <f t="shared" si="31"/>
        <v>#N/A</v>
      </c>
      <c r="P114" s="29" t="e">
        <f t="shared" si="32"/>
        <v>#N/A</v>
      </c>
      <c r="S114" s="30" t="e">
        <f t="shared" si="33"/>
        <v>#N/A</v>
      </c>
      <c r="T114" s="43" t="e">
        <f t="shared" si="34"/>
        <v>#N/A</v>
      </c>
      <c r="AD114" s="28">
        <v>21</v>
      </c>
      <c r="AE114" s="28">
        <v>2.371</v>
      </c>
    </row>
    <row r="115" spans="1:32">
      <c r="A115" s="28">
        <f t="shared" si="26"/>
        <v>0</v>
      </c>
      <c r="I115" s="29" t="b">
        <f t="shared" si="27"/>
        <v>0</v>
      </c>
      <c r="J115" s="29" t="e">
        <f t="shared" si="28"/>
        <v>#N/A</v>
      </c>
      <c r="K115" s="29" t="e">
        <f t="shared" si="29"/>
        <v>#N/A</v>
      </c>
      <c r="M115" s="29">
        <v>42</v>
      </c>
      <c r="N115" s="29" t="e">
        <f t="shared" si="30"/>
        <v>#N/A</v>
      </c>
      <c r="O115" s="29" t="e">
        <f t="shared" si="31"/>
        <v>#N/A</v>
      </c>
      <c r="P115" s="29" t="e">
        <f t="shared" si="32"/>
        <v>#N/A</v>
      </c>
      <c r="S115" s="30" t="e">
        <f t="shared" si="33"/>
        <v>#N/A</v>
      </c>
      <c r="T115" s="43" t="e">
        <f t="shared" si="34"/>
        <v>#N/A</v>
      </c>
      <c r="AD115" s="28">
        <v>22</v>
      </c>
      <c r="AE115" s="28">
        <v>2.35</v>
      </c>
    </row>
    <row r="116" spans="1:32">
      <c r="A116" s="28">
        <f t="shared" si="26"/>
        <v>0</v>
      </c>
      <c r="I116" s="29" t="b">
        <f t="shared" si="27"/>
        <v>0</v>
      </c>
      <c r="J116" s="29" t="e">
        <f t="shared" si="28"/>
        <v>#N/A</v>
      </c>
      <c r="K116" s="29" t="e">
        <f t="shared" si="29"/>
        <v>#N/A</v>
      </c>
      <c r="M116" s="29">
        <v>43</v>
      </c>
      <c r="N116" s="29" t="e">
        <f t="shared" si="30"/>
        <v>#N/A</v>
      </c>
      <c r="O116" s="29" t="e">
        <f t="shared" si="31"/>
        <v>#N/A</v>
      </c>
      <c r="P116" s="29" t="e">
        <f t="shared" si="32"/>
        <v>#N/A</v>
      </c>
      <c r="S116" s="30" t="e">
        <f t="shared" si="33"/>
        <v>#N/A</v>
      </c>
      <c r="T116" s="43" t="e">
        <f t="shared" si="34"/>
        <v>#N/A</v>
      </c>
      <c r="AD116" s="28">
        <v>23</v>
      </c>
      <c r="AE116" s="28">
        <v>2.3290000000000002</v>
      </c>
    </row>
    <row r="117" spans="1:32">
      <c r="A117" s="28">
        <f t="shared" si="26"/>
        <v>0</v>
      </c>
      <c r="I117" s="29" t="b">
        <f t="shared" si="27"/>
        <v>0</v>
      </c>
      <c r="J117" s="29" t="e">
        <f t="shared" si="28"/>
        <v>#N/A</v>
      </c>
      <c r="K117" s="29" t="e">
        <f t="shared" si="29"/>
        <v>#N/A</v>
      </c>
      <c r="M117" s="29">
        <v>44</v>
      </c>
      <c r="N117" s="29" t="e">
        <f t="shared" si="30"/>
        <v>#N/A</v>
      </c>
      <c r="O117" s="29" t="e">
        <f t="shared" si="31"/>
        <v>#N/A</v>
      </c>
      <c r="P117" s="29" t="e">
        <f t="shared" si="32"/>
        <v>#N/A</v>
      </c>
      <c r="S117" s="30" t="e">
        <f t="shared" si="33"/>
        <v>#N/A</v>
      </c>
      <c r="T117" s="43" t="e">
        <f t="shared" si="34"/>
        <v>#N/A</v>
      </c>
      <c r="AD117" s="28">
        <v>24</v>
      </c>
      <c r="AE117" s="28">
        <v>2.3090000000000002</v>
      </c>
    </row>
    <row r="118" spans="1:32">
      <c r="A118" s="28">
        <f t="shared" si="26"/>
        <v>0</v>
      </c>
      <c r="I118" s="29" t="b">
        <f t="shared" si="27"/>
        <v>0</v>
      </c>
      <c r="J118" s="29" t="e">
        <f t="shared" si="28"/>
        <v>#N/A</v>
      </c>
      <c r="K118" s="29" t="e">
        <f t="shared" si="29"/>
        <v>#N/A</v>
      </c>
      <c r="M118" s="29">
        <v>45</v>
      </c>
      <c r="N118" s="29" t="e">
        <f t="shared" si="30"/>
        <v>#N/A</v>
      </c>
      <c r="O118" s="29" t="e">
        <f t="shared" si="31"/>
        <v>#N/A</v>
      </c>
      <c r="P118" s="29" t="e">
        <f t="shared" si="32"/>
        <v>#N/A</v>
      </c>
      <c r="S118" s="30" t="e">
        <f t="shared" si="33"/>
        <v>#N/A</v>
      </c>
      <c r="T118" s="43" t="e">
        <f t="shared" si="34"/>
        <v>#N/A</v>
      </c>
      <c r="AD118" s="28">
        <v>25</v>
      </c>
      <c r="AE118" s="28">
        <v>2.2919999999999998</v>
      </c>
    </row>
    <row r="119" spans="1:32">
      <c r="A119" s="28">
        <f t="shared" si="26"/>
        <v>0</v>
      </c>
      <c r="I119" s="29" t="b">
        <f t="shared" si="27"/>
        <v>0</v>
      </c>
      <c r="J119" s="29" t="e">
        <f t="shared" si="28"/>
        <v>#N/A</v>
      </c>
      <c r="K119" s="29" t="e">
        <f t="shared" si="29"/>
        <v>#N/A</v>
      </c>
      <c r="M119" s="29">
        <v>46</v>
      </c>
      <c r="N119" s="29" t="e">
        <f t="shared" si="30"/>
        <v>#N/A</v>
      </c>
      <c r="O119" s="29" t="e">
        <f t="shared" si="31"/>
        <v>#N/A</v>
      </c>
      <c r="P119" s="29" t="e">
        <f t="shared" si="32"/>
        <v>#N/A</v>
      </c>
      <c r="S119" s="30" t="e">
        <f t="shared" si="33"/>
        <v>#N/A</v>
      </c>
      <c r="T119" s="43" t="e">
        <f t="shared" si="34"/>
        <v>#N/A</v>
      </c>
      <c r="AD119" s="28">
        <v>26</v>
      </c>
      <c r="AE119" s="28">
        <v>2.2776000000000001</v>
      </c>
    </row>
    <row r="120" spans="1:32">
      <c r="A120" s="28">
        <f t="shared" si="26"/>
        <v>0</v>
      </c>
      <c r="I120" s="29" t="b">
        <f t="shared" si="27"/>
        <v>0</v>
      </c>
      <c r="J120" s="29" t="e">
        <f t="shared" si="28"/>
        <v>#N/A</v>
      </c>
      <c r="K120" s="29" t="e">
        <f t="shared" si="29"/>
        <v>#N/A</v>
      </c>
      <c r="M120" s="29">
        <v>47</v>
      </c>
      <c r="N120" s="29" t="e">
        <f t="shared" si="30"/>
        <v>#N/A</v>
      </c>
      <c r="O120" s="29" t="e">
        <f t="shared" si="31"/>
        <v>#N/A</v>
      </c>
      <c r="P120" s="29" t="e">
        <f t="shared" si="32"/>
        <v>#N/A</v>
      </c>
      <c r="S120" s="30" t="e">
        <f t="shared" si="33"/>
        <v>#N/A</v>
      </c>
      <c r="T120" s="43" t="e">
        <f t="shared" si="34"/>
        <v>#N/A</v>
      </c>
      <c r="AD120" s="28">
        <v>27</v>
      </c>
      <c r="AE120" s="28">
        <v>2.2631999999999999</v>
      </c>
    </row>
    <row r="121" spans="1:32">
      <c r="A121" s="28">
        <f t="shared" si="26"/>
        <v>0</v>
      </c>
      <c r="I121" s="29" t="b">
        <f t="shared" si="27"/>
        <v>0</v>
      </c>
      <c r="J121" s="29" t="e">
        <f t="shared" si="28"/>
        <v>#N/A</v>
      </c>
      <c r="K121" s="29" t="e">
        <f t="shared" si="29"/>
        <v>#N/A</v>
      </c>
      <c r="M121" s="29">
        <v>48</v>
      </c>
      <c r="N121" s="29" t="e">
        <f t="shared" si="30"/>
        <v>#N/A</v>
      </c>
      <c r="O121" s="29" t="e">
        <f t="shared" si="31"/>
        <v>#N/A</v>
      </c>
      <c r="P121" s="29" t="e">
        <f t="shared" si="32"/>
        <v>#N/A</v>
      </c>
      <c r="S121" s="30" t="e">
        <f t="shared" si="33"/>
        <v>#N/A</v>
      </c>
      <c r="T121" s="43" t="e">
        <f t="shared" si="34"/>
        <v>#N/A</v>
      </c>
      <c r="AD121" s="28">
        <v>28</v>
      </c>
      <c r="AE121" s="28">
        <v>2.2488000000000001</v>
      </c>
    </row>
    <row r="122" spans="1:32">
      <c r="A122" s="28">
        <f t="shared" si="26"/>
        <v>0</v>
      </c>
      <c r="I122" s="29" t="b">
        <f t="shared" si="27"/>
        <v>0</v>
      </c>
      <c r="J122" s="29" t="e">
        <f t="shared" si="28"/>
        <v>#N/A</v>
      </c>
      <c r="K122" s="29" t="e">
        <f t="shared" si="29"/>
        <v>#N/A</v>
      </c>
      <c r="M122" s="29">
        <v>49</v>
      </c>
      <c r="N122" s="29" t="e">
        <f t="shared" si="30"/>
        <v>#N/A</v>
      </c>
      <c r="O122" s="29" t="e">
        <f t="shared" si="31"/>
        <v>#N/A</v>
      </c>
      <c r="P122" s="29" t="e">
        <f t="shared" si="32"/>
        <v>#N/A</v>
      </c>
      <c r="S122" s="30" t="e">
        <f t="shared" si="33"/>
        <v>#N/A</v>
      </c>
      <c r="T122" s="43" t="e">
        <f t="shared" si="34"/>
        <v>#N/A</v>
      </c>
      <c r="AD122" s="28">
        <v>29</v>
      </c>
      <c r="AE122" s="28">
        <v>2.2343999999999999</v>
      </c>
    </row>
    <row r="123" spans="1:32">
      <c r="A123" s="28">
        <f t="shared" si="26"/>
        <v>0</v>
      </c>
      <c r="I123" s="29" t="b">
        <f t="shared" si="27"/>
        <v>0</v>
      </c>
      <c r="J123" s="29" t="e">
        <f t="shared" si="28"/>
        <v>#N/A</v>
      </c>
      <c r="K123" s="29" t="e">
        <f t="shared" si="29"/>
        <v>#N/A</v>
      </c>
      <c r="M123" s="29">
        <v>50</v>
      </c>
      <c r="N123" s="29" t="e">
        <f t="shared" si="30"/>
        <v>#N/A</v>
      </c>
      <c r="O123" s="29" t="e">
        <f t="shared" si="31"/>
        <v>#N/A</v>
      </c>
      <c r="P123" s="29" t="e">
        <f t="shared" si="32"/>
        <v>#N/A</v>
      </c>
      <c r="S123" s="30" t="e">
        <f t="shared" si="33"/>
        <v>#N/A</v>
      </c>
      <c r="T123" s="43" t="e">
        <f t="shared" si="34"/>
        <v>#N/A</v>
      </c>
      <c r="AD123" s="28">
        <v>30</v>
      </c>
      <c r="AE123" s="28">
        <v>2.2200000000000002</v>
      </c>
    </row>
    <row r="124" spans="1:32">
      <c r="A124" s="28">
        <f t="shared" si="26"/>
        <v>0</v>
      </c>
      <c r="K124" s="29" t="e">
        <f t="shared" si="29"/>
        <v>#N/A</v>
      </c>
      <c r="S124" s="30" t="e">
        <f t="shared" si="33"/>
        <v>#N/A</v>
      </c>
      <c r="T124" s="43" t="e">
        <f t="shared" si="34"/>
        <v>#N/A</v>
      </c>
      <c r="AD124" s="28">
        <v>31</v>
      </c>
      <c r="AE124" s="28">
        <v>2.2092000000000001</v>
      </c>
    </row>
    <row r="125" spans="1:32">
      <c r="AD125" s="28">
        <v>32</v>
      </c>
      <c r="AE125" s="28">
        <v>2.1983999999999999</v>
      </c>
      <c r="AF125" s="28" t="s">
        <v>156</v>
      </c>
    </row>
    <row r="126" spans="1:32">
      <c r="AD126" s="28">
        <v>33</v>
      </c>
      <c r="AE126" s="28">
        <v>2.1876000000000002</v>
      </c>
      <c r="AF126" s="28" t="s">
        <v>156</v>
      </c>
    </row>
    <row r="127" spans="1:32">
      <c r="AD127" s="28">
        <v>34</v>
      </c>
      <c r="AE127" s="28">
        <v>2.1768000000000001</v>
      </c>
      <c r="AF127" s="28" t="s">
        <v>156</v>
      </c>
    </row>
    <row r="128" spans="1:32">
      <c r="AD128" s="28">
        <v>35</v>
      </c>
      <c r="AE128" s="28">
        <v>2.1659999999999999</v>
      </c>
      <c r="AF128" s="28" t="s">
        <v>156</v>
      </c>
    </row>
    <row r="129" spans="30:32">
      <c r="AD129" s="28">
        <v>36</v>
      </c>
      <c r="AE129" s="28">
        <f>(($AE$128-$AE$133)/5)+AE130</f>
        <v>2.1577999999999999</v>
      </c>
    </row>
    <row r="130" spans="30:32">
      <c r="AD130" s="28">
        <v>37</v>
      </c>
      <c r="AE130" s="28">
        <f>(($AE$128-$AE$133)/5)+AE131</f>
        <v>2.1496</v>
      </c>
    </row>
    <row r="131" spans="30:32">
      <c r="AD131" s="28">
        <v>38</v>
      </c>
      <c r="AE131" s="28">
        <f>(($AE$128-$AE$133)/5)+AE132</f>
        <v>2.1414</v>
      </c>
    </row>
    <row r="132" spans="30:32">
      <c r="AD132" s="28">
        <v>39</v>
      </c>
      <c r="AE132" s="28">
        <f>(($AE$128-$AE$133)/5)+AE133</f>
        <v>2.1332</v>
      </c>
    </row>
    <row r="133" spans="30:32">
      <c r="AD133" s="28">
        <v>40</v>
      </c>
      <c r="AE133" s="28">
        <v>2.125</v>
      </c>
      <c r="AF133" s="28" t="s">
        <v>156</v>
      </c>
    </row>
    <row r="134" spans="30:32">
      <c r="AD134" s="28">
        <v>41</v>
      </c>
      <c r="AE134" s="28">
        <f>(($AE$133-$AE$138)/5)+AE135</f>
        <v>2.1184000000000007</v>
      </c>
    </row>
    <row r="135" spans="30:32">
      <c r="AD135" s="28">
        <v>42</v>
      </c>
      <c r="AE135" s="28">
        <f>(($AE$133-$AE$138)/5)+AE136</f>
        <v>2.1118000000000006</v>
      </c>
    </row>
    <row r="136" spans="30:32">
      <c r="AD136" s="28">
        <v>43</v>
      </c>
      <c r="AE136" s="28">
        <f>(($AE$133-$AE$138)/5)+AE137</f>
        <v>2.1052000000000004</v>
      </c>
    </row>
    <row r="137" spans="30:32">
      <c r="AD137" s="28">
        <v>44</v>
      </c>
      <c r="AE137" s="28">
        <f>(($AE$133-$AE$138)/5)+AE138</f>
        <v>2.0986000000000002</v>
      </c>
    </row>
    <row r="138" spans="30:32">
      <c r="AD138" s="28">
        <v>45</v>
      </c>
      <c r="AE138" s="28">
        <v>2.0920000000000001</v>
      </c>
      <c r="AF138" s="28" t="s">
        <v>156</v>
      </c>
    </row>
    <row r="139" spans="30:32">
      <c r="AD139" s="28">
        <v>46</v>
      </c>
      <c r="AE139" s="28">
        <f>(($AE$138-$AE$143)/5)+AE140</f>
        <v>2.0865999999999993</v>
      </c>
    </row>
    <row r="140" spans="30:32">
      <c r="AD140" s="28">
        <v>47</v>
      </c>
      <c r="AE140" s="28">
        <f>(($AE$138-$AE$143)/5)+AE141</f>
        <v>2.0811999999999995</v>
      </c>
    </row>
    <row r="141" spans="30:32">
      <c r="AD141" s="28">
        <v>48</v>
      </c>
      <c r="AE141" s="28">
        <f>(($AE$138-$AE$143)/5)+AE142</f>
        <v>2.0757999999999996</v>
      </c>
    </row>
    <row r="142" spans="30:32">
      <c r="AD142" s="28">
        <v>49</v>
      </c>
      <c r="AE142" s="28">
        <f>(($AE$138-$AE$143)/5)+AE143</f>
        <v>2.0703999999999998</v>
      </c>
    </row>
    <row r="143" spans="30:32">
      <c r="AD143" s="28">
        <v>50</v>
      </c>
      <c r="AE143" s="28">
        <v>2.0649999999999999</v>
      </c>
      <c r="AF143" s="28" t="s">
        <v>156</v>
      </c>
    </row>
    <row r="144" spans="30:32">
      <c r="AD144" s="28">
        <v>51</v>
      </c>
    </row>
    <row r="145" spans="1:30">
      <c r="AD145" s="28">
        <v>52</v>
      </c>
    </row>
    <row r="146" spans="1:30">
      <c r="AD146" s="28">
        <v>53</v>
      </c>
    </row>
    <row r="147" spans="1:30">
      <c r="AD147" s="28">
        <v>54</v>
      </c>
    </row>
    <row r="148" spans="1:30">
      <c r="AD148" s="28">
        <v>55</v>
      </c>
    </row>
    <row r="149" spans="1:30">
      <c r="AD149" s="28">
        <v>56</v>
      </c>
    </row>
    <row r="150" spans="1:30">
      <c r="AD150" s="28">
        <v>57</v>
      </c>
    </row>
    <row r="151" spans="1:30">
      <c r="AD151" s="28">
        <v>58</v>
      </c>
    </row>
    <row r="152" spans="1:30">
      <c r="AD152" s="28">
        <v>59</v>
      </c>
    </row>
    <row r="153" spans="1:30">
      <c r="AD153" s="28">
        <v>60</v>
      </c>
    </row>
    <row r="154" spans="1:30">
      <c r="AD154" s="28">
        <v>61</v>
      </c>
    </row>
    <row r="155" spans="1:30">
      <c r="AD155" s="28">
        <v>62</v>
      </c>
    </row>
    <row r="156" spans="1:30">
      <c r="A156" s="28" t="s">
        <v>157</v>
      </c>
      <c r="AD156" s="28">
        <v>63</v>
      </c>
    </row>
    <row r="158" spans="1:30">
      <c r="A158" s="28" t="s">
        <v>158</v>
      </c>
      <c r="B158" s="28" t="e">
        <f>($T$35*($T$36^(2.33)))/100</f>
        <v>#DIV/0!</v>
      </c>
      <c r="S158" s="30" t="s">
        <v>159</v>
      </c>
      <c r="U158" s="28" t="s">
        <v>160</v>
      </c>
      <c r="W158" s="28" t="s">
        <v>161</v>
      </c>
      <c r="Y158" s="28" t="s">
        <v>162</v>
      </c>
      <c r="AA158" s="28" t="s">
        <v>163</v>
      </c>
    </row>
    <row r="160" spans="1:30">
      <c r="A160" s="28" t="s">
        <v>57</v>
      </c>
      <c r="B160" s="28" t="s">
        <v>164</v>
      </c>
      <c r="S160" s="30" t="s">
        <v>57</v>
      </c>
      <c r="T160" s="28" t="s">
        <v>108</v>
      </c>
      <c r="U160" s="28" t="s">
        <v>57</v>
      </c>
      <c r="V160" s="28" t="s">
        <v>108</v>
      </c>
      <c r="W160" s="28" t="s">
        <v>57</v>
      </c>
      <c r="X160" s="28" t="s">
        <v>108</v>
      </c>
      <c r="Y160" s="28" t="s">
        <v>57</v>
      </c>
      <c r="Z160" s="28" t="s">
        <v>108</v>
      </c>
      <c r="AA160" s="28" t="s">
        <v>57</v>
      </c>
      <c r="AB160" s="28" t="s">
        <v>108</v>
      </c>
    </row>
    <row r="161" spans="1:28">
      <c r="A161" s="28" t="e">
        <f>B158</f>
        <v>#DIV/0!</v>
      </c>
      <c r="B161" s="28" t="e">
        <f t="shared" ref="B161:B192" si="35">(EXP(((LN(A161)-$T$20)^2)/(-2*($T$21^2))))/(A161*$T$21*SQRT(2*PI()))</f>
        <v>#DIV/0!</v>
      </c>
      <c r="S161" s="44" t="e">
        <f>T35</f>
        <v>#DIV/0!</v>
      </c>
      <c r="T161" s="28">
        <v>0</v>
      </c>
      <c r="U161" s="38" t="e">
        <f>T39</f>
        <v>#DIV/0!</v>
      </c>
      <c r="V161" s="28">
        <v>0</v>
      </c>
      <c r="W161" s="38" t="e">
        <f>T48</f>
        <v>#DIV/0!</v>
      </c>
      <c r="X161" s="28">
        <v>0</v>
      </c>
      <c r="Y161" s="38" t="e">
        <f>$T$45</f>
        <v>#DIV/0!</v>
      </c>
      <c r="Z161" s="28">
        <v>0</v>
      </c>
      <c r="AA161" s="38" t="e">
        <f>$T$44</f>
        <v>#DIV/0!</v>
      </c>
      <c r="AB161" s="28" t="s">
        <v>165</v>
      </c>
    </row>
    <row r="162" spans="1:28">
      <c r="A162" s="28" t="e">
        <f t="shared" ref="A162:A193" si="36">A161+$B$158</f>
        <v>#DIV/0!</v>
      </c>
      <c r="B162" s="28" t="e">
        <f t="shared" si="35"/>
        <v>#DIV/0!</v>
      </c>
      <c r="S162" s="44" t="e">
        <f>S161</f>
        <v>#DIV/0!</v>
      </c>
      <c r="T162" s="28" t="e">
        <f>MAX($B$161:$B$260)</f>
        <v>#DIV/0!</v>
      </c>
      <c r="U162" s="38" t="e">
        <f>U161</f>
        <v>#DIV/0!</v>
      </c>
      <c r="V162" s="28" t="e">
        <f>MAX($B$161:$B$260)</f>
        <v>#DIV/0!</v>
      </c>
      <c r="W162" s="38" t="e">
        <f>W161</f>
        <v>#DIV/0!</v>
      </c>
      <c r="X162" s="28" t="e">
        <f>MAX($B$161:$B$260)</f>
        <v>#DIV/0!</v>
      </c>
      <c r="Y162" s="38" t="e">
        <f>$T$45</f>
        <v>#DIV/0!</v>
      </c>
      <c r="Z162" s="28" t="e">
        <f>X162</f>
        <v>#DIV/0!</v>
      </c>
      <c r="AA162" s="38" t="e">
        <f>$T$44</f>
        <v>#DIV/0!</v>
      </c>
      <c r="AB162" s="28" t="e">
        <f>Z162</f>
        <v>#DIV/0!</v>
      </c>
    </row>
    <row r="163" spans="1:28">
      <c r="A163" s="28" t="e">
        <f t="shared" si="36"/>
        <v>#DIV/0!</v>
      </c>
      <c r="B163" s="28" t="e">
        <f t="shared" si="35"/>
        <v>#DIV/0!</v>
      </c>
    </row>
    <row r="164" spans="1:28">
      <c r="A164" s="28" t="e">
        <f t="shared" si="36"/>
        <v>#DIV/0!</v>
      </c>
      <c r="B164" s="28" t="e">
        <f t="shared" si="35"/>
        <v>#DIV/0!</v>
      </c>
    </row>
    <row r="165" spans="1:28">
      <c r="A165" s="28" t="e">
        <f t="shared" si="36"/>
        <v>#DIV/0!</v>
      </c>
      <c r="B165" s="28" t="e">
        <f t="shared" si="35"/>
        <v>#DIV/0!</v>
      </c>
    </row>
    <row r="166" spans="1:28">
      <c r="A166" s="28" t="e">
        <f t="shared" si="36"/>
        <v>#DIV/0!</v>
      </c>
      <c r="B166" s="28" t="e">
        <f t="shared" si="35"/>
        <v>#DIV/0!</v>
      </c>
    </row>
    <row r="167" spans="1:28">
      <c r="A167" s="28" t="e">
        <f t="shared" si="36"/>
        <v>#DIV/0!</v>
      </c>
      <c r="B167" s="28" t="e">
        <f t="shared" si="35"/>
        <v>#DIV/0!</v>
      </c>
    </row>
    <row r="168" spans="1:28">
      <c r="A168" s="28" t="e">
        <f t="shared" si="36"/>
        <v>#DIV/0!</v>
      </c>
      <c r="B168" s="28" t="e">
        <f t="shared" si="35"/>
        <v>#DIV/0!</v>
      </c>
    </row>
    <row r="169" spans="1:28">
      <c r="A169" s="28" t="e">
        <f t="shared" si="36"/>
        <v>#DIV/0!</v>
      </c>
      <c r="B169" s="28" t="e">
        <f t="shared" si="35"/>
        <v>#DIV/0!</v>
      </c>
      <c r="H169" s="45" t="s">
        <v>166</v>
      </c>
      <c r="I169" s="45"/>
      <c r="J169" s="45"/>
      <c r="K169" s="28"/>
      <c r="L169" s="28"/>
      <c r="M169" s="28"/>
      <c r="N169" s="28"/>
      <c r="O169" s="28"/>
      <c r="P169" s="28"/>
      <c r="Q169" s="28"/>
      <c r="R169" s="28"/>
      <c r="S169" s="28"/>
    </row>
    <row r="170" spans="1:28">
      <c r="A170" s="28" t="e">
        <f t="shared" si="36"/>
        <v>#DIV/0!</v>
      </c>
      <c r="B170" s="28" t="e">
        <f t="shared" si="35"/>
        <v>#DIV/0!</v>
      </c>
      <c r="H170" s="28"/>
      <c r="I170" s="45" t="s">
        <v>167</v>
      </c>
      <c r="J170" s="46" t="e">
        <f>T21</f>
        <v>#DIV/0!</v>
      </c>
      <c r="K170" s="28"/>
      <c r="L170" s="28"/>
      <c r="M170" s="28" t="s">
        <v>168</v>
      </c>
      <c r="N170" s="28"/>
      <c r="O170" s="28"/>
      <c r="P170" s="28"/>
      <c r="Q170" s="28"/>
      <c r="R170" s="28"/>
      <c r="S170" s="28"/>
    </row>
    <row r="171" spans="1:28">
      <c r="A171" s="28" t="e">
        <f t="shared" si="36"/>
        <v>#DIV/0!</v>
      </c>
      <c r="B171" s="28" t="e">
        <f t="shared" si="35"/>
        <v>#DIV/0!</v>
      </c>
      <c r="H171" s="45"/>
      <c r="I171" s="45" t="s">
        <v>169</v>
      </c>
      <c r="J171" s="46">
        <f>T10</f>
        <v>0</v>
      </c>
      <c r="K171" s="28"/>
      <c r="L171" s="28"/>
      <c r="M171" s="28" t="s">
        <v>170</v>
      </c>
      <c r="N171" s="28" t="e">
        <f>HLOOKUP(J171,J189:N199,2)</f>
        <v>#N/A</v>
      </c>
      <c r="O171" s="28"/>
      <c r="P171" s="28"/>
      <c r="Q171" s="28"/>
      <c r="R171" s="28"/>
      <c r="S171" s="28"/>
    </row>
    <row r="172" spans="1:28">
      <c r="A172" s="28" t="e">
        <f t="shared" si="36"/>
        <v>#DIV/0!</v>
      </c>
      <c r="B172" s="28" t="e">
        <f t="shared" si="35"/>
        <v>#DIV/0!</v>
      </c>
      <c r="H172" s="45"/>
      <c r="I172" s="45" t="s">
        <v>171</v>
      </c>
      <c r="J172" s="45">
        <v>0.05</v>
      </c>
      <c r="K172" s="28"/>
      <c r="L172" s="28"/>
      <c r="M172" s="28" t="s">
        <v>172</v>
      </c>
      <c r="N172" s="28" t="e">
        <f>HLOOKUP(J171,J189:N199,3)</f>
        <v>#N/A</v>
      </c>
      <c r="O172" s="28"/>
      <c r="P172" s="28"/>
      <c r="Q172" s="28"/>
      <c r="R172" s="28"/>
      <c r="S172" s="28"/>
    </row>
    <row r="173" spans="1:28">
      <c r="A173" s="28" t="e">
        <f t="shared" si="36"/>
        <v>#DIV/0!</v>
      </c>
      <c r="B173" s="28" t="e">
        <f t="shared" si="35"/>
        <v>#DIV/0!</v>
      </c>
      <c r="H173" s="45"/>
      <c r="I173" s="45" t="s">
        <v>173</v>
      </c>
      <c r="J173" s="45">
        <v>0.95</v>
      </c>
      <c r="K173" s="28"/>
      <c r="L173" s="28"/>
      <c r="M173" s="28" t="s">
        <v>174</v>
      </c>
      <c r="N173" s="28" t="e">
        <f>HLOOKUP(J171,J189:N199,4)</f>
        <v>#N/A</v>
      </c>
      <c r="O173" s="28"/>
      <c r="P173" s="28"/>
      <c r="Q173" s="28"/>
      <c r="R173" s="28"/>
      <c r="S173" s="28"/>
    </row>
    <row r="174" spans="1:28">
      <c r="A174" s="28" t="e">
        <f t="shared" si="36"/>
        <v>#DIV/0!</v>
      </c>
      <c r="B174" s="28" t="e">
        <f t="shared" si="35"/>
        <v>#DIV/0!</v>
      </c>
      <c r="H174" s="45"/>
      <c r="I174" s="45" t="s">
        <v>175</v>
      </c>
      <c r="J174" s="46" t="e">
        <f>T38</f>
        <v>#DIV/0!</v>
      </c>
      <c r="K174" s="47" t="s">
        <v>176</v>
      </c>
      <c r="L174" s="28"/>
      <c r="M174" s="28" t="s">
        <v>177</v>
      </c>
      <c r="N174" s="28" t="e">
        <f>HLOOKUP(J171,J189:N199,5)</f>
        <v>#N/A</v>
      </c>
      <c r="O174" s="28"/>
      <c r="P174" s="28"/>
      <c r="Q174" s="28"/>
      <c r="R174" s="28"/>
      <c r="S174" s="28"/>
    </row>
    <row r="175" spans="1:28">
      <c r="A175" s="28" t="e">
        <f t="shared" si="36"/>
        <v>#DIV/0!</v>
      </c>
      <c r="B175" s="28" t="e">
        <f t="shared" si="35"/>
        <v>#DIV/0!</v>
      </c>
      <c r="H175" s="45"/>
      <c r="I175" s="45" t="s">
        <v>178</v>
      </c>
      <c r="J175" s="45" t="e">
        <f>J170*(SQRT((J171-1)/J171))</f>
        <v>#DIV/0!</v>
      </c>
      <c r="K175" s="28"/>
      <c r="L175" s="28"/>
      <c r="M175" s="28" t="s">
        <v>179</v>
      </c>
      <c r="N175" s="28" t="e">
        <f>HLOOKUP(J171,J189:N199,6)</f>
        <v>#N/A</v>
      </c>
      <c r="O175" s="28"/>
      <c r="P175" s="28"/>
      <c r="Q175" s="28"/>
      <c r="R175" s="28"/>
      <c r="S175" s="28"/>
    </row>
    <row r="176" spans="1:28">
      <c r="A176" s="28" t="e">
        <f t="shared" si="36"/>
        <v>#DIV/0!</v>
      </c>
      <c r="B176" s="28" t="e">
        <f t="shared" si="35"/>
        <v>#DIV/0!</v>
      </c>
      <c r="H176" s="45"/>
      <c r="I176" s="45" t="s">
        <v>180</v>
      </c>
      <c r="J176" s="45" t="e">
        <f>IF(J171&gt;5,L185,L184)</f>
        <v>#N/A</v>
      </c>
      <c r="K176" s="28"/>
      <c r="L176" s="28"/>
      <c r="M176" s="28" t="s">
        <v>181</v>
      </c>
      <c r="N176" s="28" t="e">
        <f>HLOOKUP(J171,J189:N199,7)</f>
        <v>#N/A</v>
      </c>
      <c r="O176" s="28"/>
      <c r="P176" s="28"/>
      <c r="Q176" s="28"/>
      <c r="R176" s="28"/>
      <c r="S176" s="28"/>
    </row>
    <row r="177" spans="1:20">
      <c r="A177" s="28" t="e">
        <f t="shared" si="36"/>
        <v>#DIV/0!</v>
      </c>
      <c r="B177" s="28" t="e">
        <f t="shared" si="35"/>
        <v>#DIV/0!</v>
      </c>
      <c r="H177" s="45"/>
      <c r="I177" s="45" t="s">
        <v>182</v>
      </c>
      <c r="J177" s="45" t="e">
        <f>IF(J171&gt;7,J185,J184)</f>
        <v>#N/A</v>
      </c>
      <c r="K177" s="28"/>
      <c r="L177" s="28"/>
      <c r="M177" s="28" t="s">
        <v>183</v>
      </c>
      <c r="N177" s="28" t="e">
        <f>HLOOKUP(J171,J189:N199,8)</f>
        <v>#N/A</v>
      </c>
      <c r="O177" s="28"/>
      <c r="P177" s="28"/>
      <c r="Q177" s="28"/>
      <c r="R177" s="28"/>
      <c r="S177" s="28"/>
    </row>
    <row r="178" spans="1:20">
      <c r="A178" s="28" t="e">
        <f t="shared" si="36"/>
        <v>#DIV/0!</v>
      </c>
      <c r="B178" s="28" t="e">
        <f t="shared" si="35"/>
        <v>#DIV/0!</v>
      </c>
      <c r="H178" s="45"/>
      <c r="I178" s="45" t="s">
        <v>184</v>
      </c>
      <c r="J178" s="45" t="e">
        <f>EXP((LN(J174))+(J176*(J175/(SQRT(J171-1)))))</f>
        <v>#DIV/0!</v>
      </c>
      <c r="K178" s="28"/>
      <c r="L178" s="28"/>
      <c r="M178" s="28" t="s">
        <v>185</v>
      </c>
      <c r="N178" s="28" t="e">
        <f>HLOOKUP(J171,J189:N199,9)</f>
        <v>#N/A</v>
      </c>
      <c r="O178" s="28"/>
      <c r="P178" s="28"/>
      <c r="Q178" s="28"/>
      <c r="R178" s="28"/>
      <c r="S178" s="28"/>
    </row>
    <row r="179" spans="1:20">
      <c r="A179" s="28" t="e">
        <f t="shared" si="36"/>
        <v>#DIV/0!</v>
      </c>
      <c r="B179" s="28" t="e">
        <f t="shared" si="35"/>
        <v>#DIV/0!</v>
      </c>
      <c r="H179" s="45"/>
      <c r="I179" s="45" t="s">
        <v>186</v>
      </c>
      <c r="J179" s="45" t="e">
        <f>EXP((LN(J174))+(J177*(J175/(SQRT(J171-1)))))</f>
        <v>#DIV/0!</v>
      </c>
      <c r="K179" s="28"/>
      <c r="L179" s="28"/>
      <c r="M179" s="28" t="s">
        <v>187</v>
      </c>
      <c r="N179" s="28" t="e">
        <f>HLOOKUP(J171,J189:N199,10)</f>
        <v>#N/A</v>
      </c>
      <c r="O179" s="28"/>
      <c r="P179" s="28"/>
      <c r="Q179" s="28"/>
      <c r="R179" s="28"/>
      <c r="S179" s="28"/>
    </row>
    <row r="180" spans="1:20">
      <c r="A180" s="28" t="e">
        <f t="shared" si="36"/>
        <v>#DIV/0!</v>
      </c>
      <c r="B180" s="28" t="e">
        <f t="shared" si="35"/>
        <v>#DIV/0!</v>
      </c>
      <c r="H180" s="28"/>
      <c r="I180" s="48" t="s">
        <v>188</v>
      </c>
      <c r="J180" s="28"/>
      <c r="K180" s="28"/>
      <c r="L180" s="28"/>
      <c r="M180" s="28" t="s">
        <v>189</v>
      </c>
      <c r="N180" s="28" t="e">
        <f>HLOOKUP(J171,J189:N199,11)</f>
        <v>#N/A</v>
      </c>
      <c r="O180" s="28"/>
      <c r="P180" s="28"/>
      <c r="Q180" s="28"/>
      <c r="R180" s="28"/>
      <c r="S180" s="28"/>
    </row>
    <row r="181" spans="1:20">
      <c r="A181" s="28" t="e">
        <f t="shared" si="36"/>
        <v>#DIV/0!</v>
      </c>
      <c r="B181" s="28" t="e">
        <f t="shared" si="35"/>
        <v>#DIV/0!</v>
      </c>
      <c r="H181" s="28"/>
      <c r="I181" s="28"/>
      <c r="J181" s="28"/>
      <c r="K181" s="28"/>
      <c r="L181" s="28"/>
      <c r="M181" s="28"/>
      <c r="N181" s="28"/>
      <c r="O181" s="28"/>
      <c r="P181" s="28"/>
      <c r="Q181" s="28"/>
      <c r="R181" s="28"/>
      <c r="S181" s="28"/>
    </row>
    <row r="182" spans="1:20">
      <c r="A182" s="28" t="e">
        <f t="shared" si="36"/>
        <v>#DIV/0!</v>
      </c>
      <c r="B182" s="28" t="e">
        <f t="shared" si="35"/>
        <v>#DIV/0!</v>
      </c>
      <c r="H182" s="28"/>
      <c r="I182" s="28"/>
      <c r="J182" s="28"/>
      <c r="K182" s="28"/>
      <c r="L182" s="28"/>
      <c r="M182" s="28" t="s">
        <v>190</v>
      </c>
      <c r="N182" s="28"/>
      <c r="O182" s="28"/>
      <c r="P182" s="28"/>
      <c r="Q182" s="28"/>
      <c r="R182" s="28"/>
      <c r="S182" s="28"/>
    </row>
    <row r="183" spans="1:20">
      <c r="A183" s="28" t="e">
        <f t="shared" si="36"/>
        <v>#DIV/0!</v>
      </c>
      <c r="B183" s="28" t="e">
        <f t="shared" si="35"/>
        <v>#DIV/0!</v>
      </c>
      <c r="H183" s="28"/>
      <c r="I183" s="28" t="s">
        <v>127</v>
      </c>
      <c r="J183" s="28" t="s">
        <v>191</v>
      </c>
      <c r="K183" s="28" t="s">
        <v>127</v>
      </c>
      <c r="L183" s="28" t="s">
        <v>192</v>
      </c>
      <c r="M183" s="28" t="s">
        <v>170</v>
      </c>
      <c r="N183" s="28" t="e">
        <f>HLOOKUP(J171,Q189:S199,2)</f>
        <v>#N/A</v>
      </c>
      <c r="O183" s="28"/>
      <c r="P183" s="28"/>
      <c r="Q183" s="28"/>
      <c r="R183" s="28"/>
      <c r="S183" s="28"/>
    </row>
    <row r="184" spans="1:20">
      <c r="A184" s="28" t="e">
        <f t="shared" si="36"/>
        <v>#DIV/0!</v>
      </c>
      <c r="B184" s="28" t="e">
        <f t="shared" si="35"/>
        <v>#DIV/0!</v>
      </c>
      <c r="H184" s="28"/>
      <c r="I184" s="28" t="s">
        <v>193</v>
      </c>
      <c r="J184" s="28" t="e">
        <f>(N171+(N173*J175)+(N175*(J175^2))+(N177*(J175^3))+(N179*(J175^4)))/(1+(N172*J175)+(N174*(J175^2))+(N176*(J175^3))+(N178*(J175^4))+(N180*(J175^5)))</f>
        <v>#N/A</v>
      </c>
      <c r="K184" s="28" t="s">
        <v>194</v>
      </c>
      <c r="L184" s="28" t="e">
        <f>(N183+(N185*J175)+(N187*(J175^2)))/(1+(N184*J175)+(N186*(J175^2)))</f>
        <v>#N/A</v>
      </c>
      <c r="M184" s="28" t="s">
        <v>172</v>
      </c>
      <c r="N184" s="28" t="e">
        <f>HLOOKUP(J171,Q189:S199,3)</f>
        <v>#N/A</v>
      </c>
      <c r="O184" s="28"/>
      <c r="P184" s="28"/>
      <c r="Q184" s="28"/>
      <c r="R184" s="28"/>
      <c r="S184" s="28"/>
    </row>
    <row r="185" spans="1:20">
      <c r="A185" s="28" t="e">
        <f t="shared" si="36"/>
        <v>#DIV/0!</v>
      </c>
      <c r="B185" s="28" t="e">
        <f t="shared" si="35"/>
        <v>#DIV/0!</v>
      </c>
      <c r="H185" s="28"/>
      <c r="I185" s="28" t="s">
        <v>195</v>
      </c>
      <c r="J185" s="28" t="e">
        <f>O190+(O191*J175)+(O192/J171)+(O193*(J175^2))+(O194/(J171^2))+(O195*J175/J171)+(O196*(J175^3))+(O197/(J171^3))+(O198*J175/(J171^2))+(O199*(J175^2)/J171)</f>
        <v>#DIV/0!</v>
      </c>
      <c r="K185" s="28" t="s">
        <v>196</v>
      </c>
      <c r="L185" s="28" t="e">
        <f>T190+(T191*J175)+(T192/J171)+(T193*(J175^2))+(T194/(J171^2))+(T195*J175/J171)+(T196*(J175^3))+(T197/(J171^3))+(T198*J175/(J171^2))+(T199*(J175^2)/J171)</f>
        <v>#DIV/0!</v>
      </c>
      <c r="M185" s="28" t="s">
        <v>174</v>
      </c>
      <c r="N185" s="28" t="e">
        <f>HLOOKUP(J171,Q189:S199,4)</f>
        <v>#N/A</v>
      </c>
      <c r="O185" s="28"/>
      <c r="P185" s="28"/>
      <c r="Q185" s="28"/>
      <c r="R185" s="28"/>
      <c r="S185" s="28"/>
    </row>
    <row r="186" spans="1:20">
      <c r="A186" s="28" t="e">
        <f t="shared" si="36"/>
        <v>#DIV/0!</v>
      </c>
      <c r="B186" s="28" t="e">
        <f t="shared" si="35"/>
        <v>#DIV/0!</v>
      </c>
      <c r="H186" s="28"/>
      <c r="I186" s="28"/>
      <c r="J186" s="28"/>
      <c r="K186" s="28"/>
      <c r="L186" s="28"/>
      <c r="M186" s="28" t="s">
        <v>177</v>
      </c>
      <c r="N186" s="28" t="e">
        <f>HLOOKUP(J171,Q189:S199,5)</f>
        <v>#N/A</v>
      </c>
      <c r="O186" s="28"/>
      <c r="P186" s="28"/>
      <c r="Q186" s="28"/>
      <c r="R186" s="28"/>
      <c r="S186" s="28"/>
    </row>
    <row r="187" spans="1:20">
      <c r="A187" s="28" t="e">
        <f t="shared" si="36"/>
        <v>#DIV/0!</v>
      </c>
      <c r="B187" s="28" t="e">
        <f t="shared" si="35"/>
        <v>#DIV/0!</v>
      </c>
      <c r="H187" s="28"/>
      <c r="I187" s="28"/>
      <c r="J187" s="28"/>
      <c r="K187" s="28"/>
      <c r="L187" s="28"/>
      <c r="M187" s="28" t="s">
        <v>179</v>
      </c>
      <c r="N187" s="28" t="e">
        <f>HLOOKUP(J171,Q189:S199,6)</f>
        <v>#N/A</v>
      </c>
      <c r="O187" s="28"/>
      <c r="P187" s="28"/>
      <c r="Q187" s="28"/>
      <c r="R187" s="28"/>
      <c r="S187" s="28"/>
    </row>
    <row r="188" spans="1:20">
      <c r="A188" s="28" t="e">
        <f t="shared" si="36"/>
        <v>#DIV/0!</v>
      </c>
      <c r="B188" s="28" t="e">
        <f t="shared" si="35"/>
        <v>#DIV/0!</v>
      </c>
      <c r="H188" s="28"/>
      <c r="I188" s="28" t="s">
        <v>197</v>
      </c>
      <c r="J188" s="28"/>
      <c r="K188" s="28"/>
      <c r="L188" s="28"/>
      <c r="M188" s="28"/>
      <c r="N188" s="28"/>
      <c r="O188" s="28"/>
      <c r="P188" s="28"/>
      <c r="Q188" s="28" t="s">
        <v>198</v>
      </c>
      <c r="R188" s="28"/>
      <c r="S188" s="28"/>
    </row>
    <row r="189" spans="1:20">
      <c r="A189" s="28" t="e">
        <f t="shared" si="36"/>
        <v>#DIV/0!</v>
      </c>
      <c r="B189" s="28" t="e">
        <f t="shared" si="35"/>
        <v>#DIV/0!</v>
      </c>
      <c r="H189" s="28"/>
      <c r="I189" s="28" t="s">
        <v>169</v>
      </c>
      <c r="J189" s="28">
        <v>3</v>
      </c>
      <c r="K189" s="28">
        <v>4</v>
      </c>
      <c r="L189" s="28">
        <v>5</v>
      </c>
      <c r="M189" s="28">
        <v>6</v>
      </c>
      <c r="N189" s="28">
        <v>7</v>
      </c>
      <c r="O189" s="28" t="s">
        <v>199</v>
      </c>
      <c r="P189" s="28"/>
      <c r="Q189" s="28">
        <v>3</v>
      </c>
      <c r="R189" s="28">
        <v>4</v>
      </c>
      <c r="S189" s="28">
        <v>5</v>
      </c>
      <c r="T189" s="28" t="s">
        <v>196</v>
      </c>
    </row>
    <row r="190" spans="1:20">
      <c r="A190" s="28" t="e">
        <f t="shared" si="36"/>
        <v>#DIV/0!</v>
      </c>
      <c r="B190" s="28" t="e">
        <f t="shared" si="35"/>
        <v>#DIV/0!</v>
      </c>
      <c r="H190" s="28"/>
      <c r="I190" s="28" t="s">
        <v>170</v>
      </c>
      <c r="J190" s="28">
        <v>2.3828098999999998</v>
      </c>
      <c r="K190" s="28">
        <v>2.0366181000000001</v>
      </c>
      <c r="L190" s="28">
        <v>1.9107517000000001</v>
      </c>
      <c r="M190" s="28">
        <v>1.8365940999999999</v>
      </c>
      <c r="N190" s="28">
        <v>1.7994842</v>
      </c>
      <c r="O190" s="28">
        <v>1.642361</v>
      </c>
      <c r="P190" s="28"/>
      <c r="Q190" s="28">
        <v>-2.3865192999999998</v>
      </c>
      <c r="R190" s="28">
        <v>-2.0397148999999999</v>
      </c>
      <c r="S190" s="28">
        <v>-1.9080983</v>
      </c>
      <c r="T190" s="28">
        <v>-1.6652842999999999</v>
      </c>
    </row>
    <row r="191" spans="1:20">
      <c r="A191" s="28" t="e">
        <f t="shared" si="36"/>
        <v>#DIV/0!</v>
      </c>
      <c r="B191" s="28" t="e">
        <f t="shared" si="35"/>
        <v>#DIV/0!</v>
      </c>
      <c r="H191" s="28"/>
      <c r="I191" s="28" t="s">
        <v>172</v>
      </c>
      <c r="J191" s="28">
        <v>-1.9078016</v>
      </c>
      <c r="K191" s="28">
        <v>-1.6251827999999999</v>
      </c>
      <c r="L191" s="28">
        <v>-0.75392424000000002</v>
      </c>
      <c r="M191" s="28">
        <v>0.12293613</v>
      </c>
      <c r="N191" s="28">
        <v>-0.66799472000000004</v>
      </c>
      <c r="O191" s="28">
        <v>-8.9895706000000006E-2</v>
      </c>
      <c r="P191" s="28"/>
      <c r="Q191" s="28">
        <v>1.7079129</v>
      </c>
      <c r="R191" s="28">
        <v>1.1478581000000001</v>
      </c>
      <c r="S191" s="28">
        <v>0.92104951999999995</v>
      </c>
      <c r="T191" s="28">
        <v>0.10902402</v>
      </c>
    </row>
    <row r="192" spans="1:20">
      <c r="A192" s="28" t="e">
        <f t="shared" si="36"/>
        <v>#DIV/0!</v>
      </c>
      <c r="B192" s="28" t="e">
        <f t="shared" si="35"/>
        <v>#DIV/0!</v>
      </c>
      <c r="H192" s="28"/>
      <c r="I192" s="28" t="s">
        <v>174</v>
      </c>
      <c r="J192" s="28">
        <v>-1.2992596999999999</v>
      </c>
      <c r="K192" s="28">
        <v>-1.6229194</v>
      </c>
      <c r="L192" s="28">
        <v>-0.42339524000000001</v>
      </c>
      <c r="M192" s="28">
        <v>1.3030195</v>
      </c>
      <c r="N192" s="28">
        <v>-0.44540781000000002</v>
      </c>
      <c r="O192" s="28">
        <v>2.8580990000000002</v>
      </c>
      <c r="P192" s="28"/>
      <c r="Q192" s="28">
        <v>-0.97733457999999995</v>
      </c>
      <c r="R192" s="28">
        <v>-0.69548849000000001</v>
      </c>
      <c r="S192" s="28">
        <v>-0.58741405000000002</v>
      </c>
      <c r="T192" s="28">
        <v>0.41441365000000002</v>
      </c>
    </row>
    <row r="193" spans="1:23">
      <c r="A193" s="28" t="e">
        <f t="shared" si="36"/>
        <v>#DIV/0!</v>
      </c>
      <c r="B193" s="28" t="e">
        <f t="shared" ref="B193:B224" si="37">(EXP(((LN(A193)-$T$20)^2)/(-2*($T$21^2))))/(A193*$T$21*SQRT(2*PI()))</f>
        <v>#DIV/0!</v>
      </c>
      <c r="H193" s="28"/>
      <c r="I193" s="28" t="s">
        <v>177</v>
      </c>
      <c r="J193" s="28">
        <v>5.2917836999999999</v>
      </c>
      <c r="K193" s="28">
        <v>2.6423741999999999</v>
      </c>
      <c r="L193" s="28">
        <v>0.89103098000000003</v>
      </c>
      <c r="M193" s="28">
        <v>1.5345557999999999</v>
      </c>
      <c r="N193" s="28">
        <v>0.85685750999999999</v>
      </c>
      <c r="O193" s="28">
        <v>0.69351183000000005</v>
      </c>
      <c r="P193" s="28"/>
      <c r="Q193" s="28">
        <v>-3.6191266E-2</v>
      </c>
      <c r="R193" s="28">
        <v>-1.8545415999999999E-2</v>
      </c>
      <c r="S193" s="28">
        <v>-9.7144959999999995E-3</v>
      </c>
      <c r="T193" s="28">
        <v>-0.41101237000000002</v>
      </c>
    </row>
    <row r="194" spans="1:23">
      <c r="A194" s="28" t="e">
        <f t="shared" ref="A194:A225" si="38">A193+$B$158</f>
        <v>#DIV/0!</v>
      </c>
      <c r="B194" s="28" t="e">
        <f t="shared" si="37"/>
        <v>#DIV/0!</v>
      </c>
      <c r="H194" s="28"/>
      <c r="I194" s="28" t="s">
        <v>179</v>
      </c>
      <c r="J194" s="28">
        <v>7.9866450000000002</v>
      </c>
      <c r="K194" s="28">
        <v>4.0754459000000001</v>
      </c>
      <c r="L194" s="28">
        <v>2.7606354</v>
      </c>
      <c r="M194" s="28">
        <v>2.6593491999999999</v>
      </c>
      <c r="N194" s="28">
        <v>2.0272399999999999</v>
      </c>
      <c r="O194" s="28">
        <v>-40.990924</v>
      </c>
      <c r="P194" s="28"/>
      <c r="Q194" s="28">
        <v>-0.62035479000000004</v>
      </c>
      <c r="R194" s="28">
        <v>-0.52301624000000002</v>
      </c>
      <c r="S194" s="28">
        <v>-0.49022279000000002</v>
      </c>
      <c r="T194" s="28">
        <v>-16.464545999999999</v>
      </c>
    </row>
    <row r="195" spans="1:23">
      <c r="A195" s="28" t="e">
        <f t="shared" si="38"/>
        <v>#DIV/0!</v>
      </c>
      <c r="B195" s="28" t="e">
        <f t="shared" si="37"/>
        <v>#DIV/0!</v>
      </c>
      <c r="H195" s="28"/>
      <c r="I195" s="28" t="s">
        <v>181</v>
      </c>
      <c r="J195" s="28">
        <v>-0.68237044999999996</v>
      </c>
      <c r="K195" s="28">
        <v>-1.0014932999999999</v>
      </c>
      <c r="L195" s="28">
        <v>-0.18397781999999999</v>
      </c>
      <c r="M195" s="28">
        <v>-0.48014163999999998</v>
      </c>
      <c r="N195" s="28">
        <v>0.11982843999999999</v>
      </c>
      <c r="O195" s="28">
        <v>5.2690665000000001</v>
      </c>
      <c r="P195" s="28"/>
      <c r="Q195" s="28"/>
      <c r="R195" s="28"/>
      <c r="S195" s="28"/>
      <c r="T195" s="28">
        <v>4.2113052</v>
      </c>
    </row>
    <row r="196" spans="1:23">
      <c r="A196" s="28" t="e">
        <f t="shared" si="38"/>
        <v>#DIV/0!</v>
      </c>
      <c r="B196" s="28" t="e">
        <f t="shared" si="37"/>
        <v>#DIV/0!</v>
      </c>
      <c r="H196" s="28"/>
      <c r="I196" s="28" t="s">
        <v>183</v>
      </c>
      <c r="J196" s="28">
        <v>31.329889999999999</v>
      </c>
      <c r="K196" s="28">
        <v>3.4090807000000001</v>
      </c>
      <c r="L196" s="28">
        <v>0.13008099000000001</v>
      </c>
      <c r="M196" s="28">
        <v>4.8166928999999996</v>
      </c>
      <c r="N196" s="28">
        <v>0.48077010999999997</v>
      </c>
      <c r="O196" s="28">
        <v>-0.13243948999999999</v>
      </c>
      <c r="P196" s="28"/>
      <c r="Q196" s="28"/>
      <c r="R196" s="28"/>
      <c r="S196" s="28"/>
      <c r="T196" s="28">
        <v>6.6100924000000005E-2</v>
      </c>
    </row>
    <row r="197" spans="1:23">
      <c r="A197" s="28" t="e">
        <f t="shared" si="38"/>
        <v>#DIV/0!</v>
      </c>
      <c r="B197" s="28" t="e">
        <f t="shared" si="37"/>
        <v>#DIV/0!</v>
      </c>
      <c r="H197" s="28"/>
      <c r="I197" s="28" t="s">
        <v>185</v>
      </c>
      <c r="J197" s="28">
        <v>0.54527619000000005</v>
      </c>
      <c r="K197" s="28">
        <v>0.29455520000000002</v>
      </c>
      <c r="L197" s="28">
        <v>5.3432080999999999E-2</v>
      </c>
      <c r="M197" s="28">
        <v>3.9733021999999998E-3</v>
      </c>
      <c r="N197" s="28">
        <v>2.3989184E-2</v>
      </c>
      <c r="O197" s="28">
        <v>182.18949000000001</v>
      </c>
      <c r="P197" s="28"/>
      <c r="Q197" s="28"/>
      <c r="R197" s="28"/>
      <c r="S197" s="28"/>
      <c r="T197" s="28">
        <v>55.619447000000001</v>
      </c>
    </row>
    <row r="198" spans="1:23">
      <c r="A198" s="28" t="e">
        <f t="shared" si="38"/>
        <v>#DIV/0!</v>
      </c>
      <c r="B198" s="28" t="e">
        <f t="shared" si="37"/>
        <v>#DIV/0!</v>
      </c>
      <c r="H198" s="28"/>
      <c r="I198" s="28" t="s">
        <v>187</v>
      </c>
      <c r="J198" s="28">
        <v>14.169840000000001</v>
      </c>
      <c r="K198" s="28">
        <v>0.62956062999999995</v>
      </c>
      <c r="L198" s="28">
        <v>0.53746225999999997</v>
      </c>
      <c r="M198" s="28">
        <v>-1.6148013000000001</v>
      </c>
      <c r="N198" s="28">
        <v>1.065744</v>
      </c>
      <c r="O198" s="28">
        <v>24.118100999999999</v>
      </c>
      <c r="P198" s="28"/>
      <c r="Q198" s="28"/>
      <c r="R198" s="28"/>
      <c r="S198" s="28"/>
      <c r="T198" s="28">
        <v>-7.8131037000000001</v>
      </c>
    </row>
    <row r="199" spans="1:23">
      <c r="A199" s="28" t="e">
        <f t="shared" si="38"/>
        <v>#DIV/0!</v>
      </c>
      <c r="B199" s="28" t="e">
        <f t="shared" si="37"/>
        <v>#DIV/0!</v>
      </c>
      <c r="H199" s="28"/>
      <c r="I199" s="28" t="s">
        <v>189</v>
      </c>
      <c r="J199" s="28">
        <v>-6.6913335000000004E-2</v>
      </c>
      <c r="K199" s="28">
        <v>-3.1880045000000003E-2</v>
      </c>
      <c r="L199" s="28">
        <v>-3.8110231999999998E-3</v>
      </c>
      <c r="M199" s="28">
        <v>0</v>
      </c>
      <c r="N199" s="28">
        <v>0</v>
      </c>
      <c r="O199" s="28">
        <v>1.588055</v>
      </c>
      <c r="P199" s="28"/>
      <c r="Q199" s="28"/>
      <c r="R199" s="28"/>
      <c r="S199" s="28"/>
      <c r="T199" s="28">
        <v>-0.22232526999999999</v>
      </c>
    </row>
    <row r="200" spans="1:23">
      <c r="A200" s="28" t="e">
        <f t="shared" si="38"/>
        <v>#DIV/0!</v>
      </c>
      <c r="B200" s="28" t="e">
        <f t="shared" si="37"/>
        <v>#DIV/0!</v>
      </c>
      <c r="H200" s="28"/>
      <c r="I200" s="28"/>
      <c r="J200" s="28"/>
      <c r="K200" s="28"/>
      <c r="L200" s="28"/>
      <c r="M200" s="28"/>
      <c r="N200" s="28"/>
      <c r="O200" s="28"/>
      <c r="P200" s="28"/>
      <c r="Q200" s="28"/>
      <c r="R200" s="28" t="s">
        <v>200</v>
      </c>
      <c r="S200" s="28" t="s">
        <v>201</v>
      </c>
      <c r="V200" s="28" t="s">
        <v>200</v>
      </c>
      <c r="W200" s="28" t="s">
        <v>201</v>
      </c>
    </row>
    <row r="201" spans="1:23">
      <c r="A201" s="28" t="e">
        <f t="shared" si="38"/>
        <v>#DIV/0!</v>
      </c>
      <c r="B201" s="28" t="e">
        <f t="shared" si="37"/>
        <v>#DIV/0!</v>
      </c>
      <c r="H201" s="28"/>
      <c r="I201" s="28"/>
      <c r="J201" s="28"/>
      <c r="K201" s="28"/>
      <c r="L201" s="28"/>
      <c r="M201" s="28"/>
      <c r="N201" s="28"/>
      <c r="O201" s="28"/>
      <c r="P201" s="28"/>
      <c r="Q201" s="28"/>
      <c r="R201" s="28" t="e">
        <f>J209</f>
        <v>#NUM!</v>
      </c>
      <c r="S201" s="28" t="e">
        <f>K209</f>
        <v>#NUM!</v>
      </c>
      <c r="V201" s="28" t="e">
        <f>R201</f>
        <v>#NUM!</v>
      </c>
      <c r="W201" s="28" t="e">
        <f>S201</f>
        <v>#NUM!</v>
      </c>
    </row>
    <row r="202" spans="1:23">
      <c r="A202" s="28" t="e">
        <f t="shared" si="38"/>
        <v>#DIV/0!</v>
      </c>
      <c r="B202" s="28" t="e">
        <f t="shared" si="37"/>
        <v>#DIV/0!</v>
      </c>
      <c r="H202" s="28"/>
      <c r="I202" s="28"/>
      <c r="J202" s="28"/>
      <c r="K202" s="28"/>
      <c r="L202" s="28"/>
      <c r="M202" s="28"/>
      <c r="N202" s="28" t="s">
        <v>202</v>
      </c>
      <c r="O202" s="28"/>
      <c r="P202" s="28"/>
      <c r="Q202" s="28" t="s">
        <v>203</v>
      </c>
      <c r="R202" s="28" t="e">
        <f>V206</f>
        <v>#NUM!</v>
      </c>
      <c r="S202" s="28" t="e">
        <f>W206</f>
        <v>#NUM!</v>
      </c>
      <c r="U202" s="49" t="s">
        <v>204</v>
      </c>
      <c r="V202" s="28" t="e">
        <f>IF(V201&lt;=-3,1,0)</f>
        <v>#NUM!</v>
      </c>
      <c r="W202" s="28" t="e">
        <f>IF(W201&lt;=-3,1,0)</f>
        <v>#NUM!</v>
      </c>
    </row>
    <row r="203" spans="1:23">
      <c r="A203" s="28" t="e">
        <f t="shared" si="38"/>
        <v>#DIV/0!</v>
      </c>
      <c r="B203" s="28" t="e">
        <f t="shared" si="37"/>
        <v>#DIV/0!</v>
      </c>
      <c r="H203" s="28"/>
      <c r="I203" s="45" t="s">
        <v>205</v>
      </c>
      <c r="J203" s="45"/>
      <c r="K203" s="28"/>
      <c r="L203" s="28"/>
      <c r="M203" s="28"/>
      <c r="N203" s="28" t="s">
        <v>170</v>
      </c>
      <c r="O203" s="28" t="e">
        <f>HLOOKUP(J204,J214:Q224,2)</f>
        <v>#N/A</v>
      </c>
      <c r="P203" s="28"/>
      <c r="Q203" s="28" t="s">
        <v>170</v>
      </c>
      <c r="R203" s="28" t="e">
        <f>HLOOKUP(R202,T214:W224,2)</f>
        <v>#NUM!</v>
      </c>
      <c r="S203" s="28" t="e">
        <f>HLOOKUP(S202,T214:W224,2)</f>
        <v>#NUM!</v>
      </c>
      <c r="U203" s="49" t="s">
        <v>206</v>
      </c>
      <c r="V203" s="28" t="e">
        <f>IF(V201&lt;=-1,1,0)</f>
        <v>#NUM!</v>
      </c>
      <c r="W203" s="28" t="e">
        <f>IF(W201&lt;=-1,1,0)</f>
        <v>#NUM!</v>
      </c>
    </row>
    <row r="204" spans="1:23">
      <c r="A204" s="28" t="e">
        <f t="shared" si="38"/>
        <v>#DIV/0!</v>
      </c>
      <c r="B204" s="28" t="e">
        <f t="shared" si="37"/>
        <v>#DIV/0!</v>
      </c>
      <c r="H204" s="28"/>
      <c r="I204" s="45" t="s">
        <v>169</v>
      </c>
      <c r="J204" s="46">
        <f>T10</f>
        <v>0</v>
      </c>
      <c r="K204" s="28"/>
      <c r="L204" s="28"/>
      <c r="M204" s="28"/>
      <c r="N204" s="28" t="s">
        <v>172</v>
      </c>
      <c r="O204" s="28" t="e">
        <f>HLOOKUP(J204,J214:Q224,3)</f>
        <v>#N/A</v>
      </c>
      <c r="P204" s="28"/>
      <c r="Q204" s="28" t="s">
        <v>172</v>
      </c>
      <c r="R204" s="28" t="e">
        <f>HLOOKUP(R202,T214:W224,3)</f>
        <v>#NUM!</v>
      </c>
      <c r="S204" s="28" t="e">
        <f>HLOOKUP(S202,T214:W224,3)</f>
        <v>#NUM!</v>
      </c>
      <c r="U204" s="49" t="s">
        <v>207</v>
      </c>
      <c r="V204" s="28" t="e">
        <f>IF(V201&lt;=1,1,0)</f>
        <v>#NUM!</v>
      </c>
      <c r="W204" s="28" t="e">
        <f>IF(W201&lt;=1,1,0)</f>
        <v>#NUM!</v>
      </c>
    </row>
    <row r="205" spans="1:23">
      <c r="A205" s="28" t="e">
        <f t="shared" si="38"/>
        <v>#DIV/0!</v>
      </c>
      <c r="B205" s="28" t="e">
        <f t="shared" si="37"/>
        <v>#DIV/0!</v>
      </c>
      <c r="H205" s="28"/>
      <c r="I205" s="45" t="s">
        <v>208</v>
      </c>
      <c r="J205" s="45">
        <f>B6</f>
        <v>0</v>
      </c>
      <c r="K205" s="28"/>
      <c r="L205" s="28"/>
      <c r="M205" s="28"/>
      <c r="N205" s="28" t="s">
        <v>174</v>
      </c>
      <c r="O205" s="28" t="e">
        <f>HLOOKUP(J204,J214:Q224,4)</f>
        <v>#N/A</v>
      </c>
      <c r="P205" s="28"/>
      <c r="Q205" s="28" t="s">
        <v>174</v>
      </c>
      <c r="R205" s="28" t="e">
        <f>HLOOKUP(R202,T214:W224,4)</f>
        <v>#NUM!</v>
      </c>
      <c r="S205" s="28" t="e">
        <f>HLOOKUP(S202,T214:W224,4)</f>
        <v>#NUM!</v>
      </c>
      <c r="U205" s="49" t="s">
        <v>209</v>
      </c>
      <c r="V205" s="28" t="e">
        <f>IF(V201&lt;=2.5,1,0)</f>
        <v>#NUM!</v>
      </c>
      <c r="W205" s="28" t="e">
        <f>IF(W201&lt;=2.5,1,0)</f>
        <v>#NUM!</v>
      </c>
    </row>
    <row r="206" spans="1:23">
      <c r="A206" s="28" t="e">
        <f t="shared" si="38"/>
        <v>#DIV/0!</v>
      </c>
      <c r="B206" s="28" t="e">
        <f t="shared" si="37"/>
        <v>#DIV/0!</v>
      </c>
      <c r="H206" s="28"/>
      <c r="I206" s="45" t="s">
        <v>210</v>
      </c>
      <c r="J206" s="46" t="e">
        <f>T20</f>
        <v>#DIV/0!</v>
      </c>
      <c r="K206" s="28" t="e">
        <f>EXP(J206)</f>
        <v>#DIV/0!</v>
      </c>
      <c r="L206" s="28" t="s">
        <v>211</v>
      </c>
      <c r="M206" s="28"/>
      <c r="N206" s="28" t="s">
        <v>177</v>
      </c>
      <c r="O206" s="28" t="e">
        <f>HLOOKUP(J204,J214:Q224,5)</f>
        <v>#N/A</v>
      </c>
      <c r="P206" s="28"/>
      <c r="Q206" s="28" t="s">
        <v>177</v>
      </c>
      <c r="R206" s="28" t="e">
        <f>HLOOKUP(R202,T214:W224,5)</f>
        <v>#NUM!</v>
      </c>
      <c r="S206" s="28" t="e">
        <f>HLOOKUP(S202,T214:W224,5)</f>
        <v>#NUM!</v>
      </c>
      <c r="U206" s="28" t="s">
        <v>203</v>
      </c>
      <c r="V206" s="28" t="e">
        <f>SUM(V202:V205)</f>
        <v>#NUM!</v>
      </c>
      <c r="W206" s="28" t="e">
        <f>SUM(W202:W205)</f>
        <v>#NUM!</v>
      </c>
    </row>
    <row r="207" spans="1:23">
      <c r="A207" s="28" t="e">
        <f t="shared" si="38"/>
        <v>#DIV/0!</v>
      </c>
      <c r="B207" s="28" t="e">
        <f t="shared" si="37"/>
        <v>#DIV/0!</v>
      </c>
      <c r="H207" s="28"/>
      <c r="I207" s="45" t="s">
        <v>212</v>
      </c>
      <c r="J207" s="46" t="e">
        <f>T21</f>
        <v>#DIV/0!</v>
      </c>
      <c r="K207" s="28" t="e">
        <f>EXP(J207)</f>
        <v>#DIV/0!</v>
      </c>
      <c r="L207" s="28" t="s">
        <v>213</v>
      </c>
      <c r="M207" s="28"/>
      <c r="N207" s="28" t="s">
        <v>179</v>
      </c>
      <c r="O207" s="28" t="e">
        <f>HLOOKUP(J204,J214:Q224,6)</f>
        <v>#N/A</v>
      </c>
      <c r="P207" s="28"/>
      <c r="Q207" s="28" t="s">
        <v>179</v>
      </c>
      <c r="R207" s="28" t="e">
        <f>HLOOKUP(R202,T214:W224,6)</f>
        <v>#NUM!</v>
      </c>
      <c r="S207" s="28" t="e">
        <f>HLOOKUP(S202,T214:W224,6)</f>
        <v>#NUM!</v>
      </c>
    </row>
    <row r="208" spans="1:23">
      <c r="A208" s="28" t="e">
        <f t="shared" si="38"/>
        <v>#DIV/0!</v>
      </c>
      <c r="B208" s="28" t="e">
        <f t="shared" si="37"/>
        <v>#DIV/0!</v>
      </c>
      <c r="H208" s="28"/>
      <c r="I208" s="45"/>
      <c r="J208" s="45"/>
      <c r="K208" s="28"/>
      <c r="L208" s="28"/>
      <c r="M208" s="28"/>
      <c r="N208" s="28" t="s">
        <v>181</v>
      </c>
      <c r="O208" s="28" t="e">
        <f>HLOOKUP(J204,J214:Q224,7)</f>
        <v>#N/A</v>
      </c>
      <c r="P208" s="28"/>
      <c r="Q208" s="28" t="s">
        <v>181</v>
      </c>
      <c r="R208" s="28" t="e">
        <f>HLOOKUP(R202,T214:W224,7)</f>
        <v>#NUM!</v>
      </c>
      <c r="S208" s="28" t="e">
        <f>HLOOKUP(S202,T214:W224,7)</f>
        <v>#NUM!</v>
      </c>
    </row>
    <row r="209" spans="1:23">
      <c r="A209" s="28" t="e">
        <f t="shared" si="38"/>
        <v>#DIV/0!</v>
      </c>
      <c r="B209" s="28" t="e">
        <f t="shared" si="37"/>
        <v>#DIV/0!</v>
      </c>
      <c r="H209" s="28"/>
      <c r="I209" s="45" t="s">
        <v>214</v>
      </c>
      <c r="J209" s="45" t="e">
        <f>(LN(J205)-J206)/J207</f>
        <v>#NUM!</v>
      </c>
      <c r="K209" s="28" t="e">
        <f>-J209</f>
        <v>#NUM!</v>
      </c>
      <c r="L209" s="28"/>
      <c r="M209" s="28"/>
      <c r="N209" s="28" t="s">
        <v>183</v>
      </c>
      <c r="O209" s="28" t="e">
        <f>HLOOKUP(J204,J214:Q224,8)</f>
        <v>#N/A</v>
      </c>
      <c r="P209" s="28"/>
      <c r="Q209" s="28" t="s">
        <v>183</v>
      </c>
      <c r="R209" s="28" t="e">
        <f>HLOOKUP(R202,T214:W224,8)</f>
        <v>#NUM!</v>
      </c>
      <c r="S209" s="28" t="e">
        <f>HLOOKUP(S202,T214:W224,8)</f>
        <v>#NUM!</v>
      </c>
    </row>
    <row r="210" spans="1:23">
      <c r="A210" s="28" t="e">
        <f t="shared" si="38"/>
        <v>#DIV/0!</v>
      </c>
      <c r="B210" s="28" t="e">
        <f t="shared" si="37"/>
        <v>#DIV/0!</v>
      </c>
      <c r="H210" s="28"/>
      <c r="I210" s="45" t="s">
        <v>215</v>
      </c>
      <c r="J210" s="45" t="e">
        <f>1-NORMSDIST(J209)</f>
        <v>#NUM!</v>
      </c>
      <c r="K210" s="28"/>
      <c r="L210" s="28" t="s">
        <v>216</v>
      </c>
      <c r="M210" s="28" t="s">
        <v>217</v>
      </c>
      <c r="N210" s="28" t="s">
        <v>185</v>
      </c>
      <c r="O210" s="28" t="e">
        <f>HLOOKUP(J204,J214:Q224,9)</f>
        <v>#N/A</v>
      </c>
      <c r="P210" s="28"/>
      <c r="Q210" s="28" t="s">
        <v>185</v>
      </c>
      <c r="R210" s="28" t="e">
        <f>HLOOKUP(R202,T214:W224,9)</f>
        <v>#NUM!</v>
      </c>
      <c r="S210" s="28" t="e">
        <f>HLOOKUP(S202,T214:W224,9)</f>
        <v>#NUM!</v>
      </c>
    </row>
    <row r="211" spans="1:23">
      <c r="A211" s="28" t="e">
        <f t="shared" si="38"/>
        <v>#DIV/0!</v>
      </c>
      <c r="B211" s="28" t="e">
        <f t="shared" si="37"/>
        <v>#DIV/0!</v>
      </c>
      <c r="H211" s="28"/>
      <c r="I211" s="45" t="s">
        <v>218</v>
      </c>
      <c r="J211" s="45" t="e">
        <f>IF(J204&lt;10,L211,M211)</f>
        <v>#N/A</v>
      </c>
      <c r="K211" s="28"/>
      <c r="L211" s="28" t="e">
        <f>(O203+(O205*J209)+(O207*(J209^2))+(O209*(J209^3))+(O211*(J209^4)))/(1+(O204*J209)+(O206*(J209^2))+(O208*(J209^3))+(O210*(J209^4))+(O212*(J209^5)))</f>
        <v>#N/A</v>
      </c>
      <c r="M211" s="28" t="e">
        <f>R203+(R204*J209)+(R205/J204)+(R206*(J209^2))+(R207/(J204^2))+(R208*J209/J204)+(R209*(J209^3))+(R210/(J204^3))+(R211*J209/(J204^2))+(R212*(J209^2)/J204)</f>
        <v>#NUM!</v>
      </c>
      <c r="N211" s="28" t="s">
        <v>187</v>
      </c>
      <c r="O211" s="28" t="e">
        <f>HLOOKUP(J204,J214:Q224,10)</f>
        <v>#N/A</v>
      </c>
      <c r="P211" s="28"/>
      <c r="Q211" s="28" t="s">
        <v>187</v>
      </c>
      <c r="R211" s="28" t="e">
        <f>HLOOKUP(R202,T214:W224,10)</f>
        <v>#NUM!</v>
      </c>
      <c r="S211" s="28" t="e">
        <f>HLOOKUP(S202,T214:W224,10)</f>
        <v>#NUM!</v>
      </c>
    </row>
    <row r="212" spans="1:23">
      <c r="A212" s="28" t="e">
        <f t="shared" si="38"/>
        <v>#DIV/0!</v>
      </c>
      <c r="B212" s="28" t="e">
        <f t="shared" si="37"/>
        <v>#DIV/0!</v>
      </c>
      <c r="H212" s="28"/>
      <c r="I212" s="45" t="s">
        <v>219</v>
      </c>
      <c r="J212" s="45" t="e">
        <f>IF(J204&lt;10,L212,M212)</f>
        <v>#N/A</v>
      </c>
      <c r="K212" s="28"/>
      <c r="L212" s="28" t="e">
        <f>1-(O203+(O205*K209)+(O207*(K209^2))+(O209*(K209^3))+(O211*(K209^4)))/(1+(O204*K209)+(O206*(K209^2))+(O208*(K209^3))+(O210*(K209^4))+(O212*(K209^5)))</f>
        <v>#N/A</v>
      </c>
      <c r="M212" s="28" t="e">
        <f>1-(S203+(S204*K209)+(S205/J204)+(S206*(K209^2))+(S207/(J204^2))+(S208*K209/J204)+(S209*(K209^3))+(S210/(J204^3))+(S211*K209/(J204^2))+(S212*(K209^2)/J204))</f>
        <v>#NUM!</v>
      </c>
      <c r="N212" s="28" t="s">
        <v>189</v>
      </c>
      <c r="O212" s="28" t="e">
        <f>HLOOKUP(J204,J214:Q224,11)</f>
        <v>#N/A</v>
      </c>
      <c r="P212" s="28"/>
      <c r="Q212" s="28" t="s">
        <v>189</v>
      </c>
      <c r="R212" s="28" t="e">
        <f>HLOOKUP(R202,T214:W224,11)</f>
        <v>#NUM!</v>
      </c>
      <c r="S212" s="28" t="e">
        <f>HLOOKUP(S202,T214:W224,11)</f>
        <v>#NUM!</v>
      </c>
    </row>
    <row r="213" spans="1:23">
      <c r="A213" s="28" t="e">
        <f t="shared" si="38"/>
        <v>#DIV/0!</v>
      </c>
      <c r="B213" s="28" t="e">
        <f t="shared" si="37"/>
        <v>#DIV/0!</v>
      </c>
      <c r="H213" s="28"/>
      <c r="I213" s="50" t="s">
        <v>220</v>
      </c>
      <c r="J213" s="28"/>
      <c r="K213" s="28"/>
      <c r="L213" s="28"/>
      <c r="M213" s="28"/>
      <c r="N213" s="28"/>
      <c r="O213" s="28"/>
      <c r="P213" s="28"/>
      <c r="Q213" s="28"/>
      <c r="R213" s="28"/>
      <c r="S213" s="28" t="s">
        <v>221</v>
      </c>
      <c r="T213" s="28" t="s">
        <v>209</v>
      </c>
      <c r="U213" s="28" t="s">
        <v>222</v>
      </c>
      <c r="V213" s="28" t="s">
        <v>223</v>
      </c>
      <c r="W213" s="28" t="s">
        <v>224</v>
      </c>
    </row>
    <row r="214" spans="1:23">
      <c r="A214" s="28" t="e">
        <f t="shared" si="38"/>
        <v>#DIV/0!</v>
      </c>
      <c r="B214" s="28" t="e">
        <f t="shared" si="37"/>
        <v>#DIV/0!</v>
      </c>
      <c r="H214" s="28"/>
      <c r="I214" s="28" t="s">
        <v>127</v>
      </c>
      <c r="J214" s="28">
        <v>2</v>
      </c>
      <c r="K214" s="28">
        <v>3</v>
      </c>
      <c r="L214" s="28">
        <v>4</v>
      </c>
      <c r="M214" s="28">
        <v>5</v>
      </c>
      <c r="N214" s="28">
        <v>6</v>
      </c>
      <c r="O214" s="28">
        <v>7</v>
      </c>
      <c r="P214" s="28">
        <v>8</v>
      </c>
      <c r="Q214" s="28">
        <v>9</v>
      </c>
      <c r="R214" s="28"/>
      <c r="S214" s="28" t="s">
        <v>225</v>
      </c>
      <c r="T214" s="28">
        <v>1</v>
      </c>
      <c r="U214" s="28">
        <v>2</v>
      </c>
      <c r="V214" s="28">
        <v>3</v>
      </c>
      <c r="W214" s="28">
        <v>4</v>
      </c>
    </row>
    <row r="215" spans="1:23">
      <c r="A215" s="28" t="e">
        <f t="shared" si="38"/>
        <v>#DIV/0!</v>
      </c>
      <c r="B215" s="28" t="e">
        <f t="shared" si="37"/>
        <v>#DIV/0!</v>
      </c>
      <c r="H215" s="28"/>
      <c r="I215" s="28" t="s">
        <v>170</v>
      </c>
      <c r="J215" s="28">
        <v>0.12238976</v>
      </c>
      <c r="K215" s="28">
        <v>0.17122854000000001</v>
      </c>
      <c r="L215" s="28">
        <v>0.20519873999999999</v>
      </c>
      <c r="M215" s="28">
        <v>0.23077928</v>
      </c>
      <c r="N215" s="28">
        <v>0.25103596</v>
      </c>
      <c r="O215" s="28">
        <v>0.26744948000000002</v>
      </c>
      <c r="P215" s="28">
        <v>0.28087030000000002</v>
      </c>
      <c r="Q215" s="28">
        <v>0.29176735999999998</v>
      </c>
      <c r="R215" s="28"/>
      <c r="S215" s="28" t="s">
        <v>170</v>
      </c>
      <c r="T215" s="28">
        <v>0.51277463999999995</v>
      </c>
      <c r="U215" s="28">
        <v>0.46043718</v>
      </c>
      <c r="V215" s="28">
        <v>0.43098160000000002</v>
      </c>
      <c r="W215" s="28">
        <v>0.84985991999999999</v>
      </c>
    </row>
    <row r="216" spans="1:23">
      <c r="A216" s="28" t="e">
        <f t="shared" si="38"/>
        <v>#DIV/0!</v>
      </c>
      <c r="B216" s="28" t="e">
        <f t="shared" si="37"/>
        <v>#DIV/0!</v>
      </c>
      <c r="H216" s="28"/>
      <c r="I216" s="28" t="s">
        <v>172</v>
      </c>
      <c r="J216" s="28">
        <v>-0.79631443000000002</v>
      </c>
      <c r="K216" s="28">
        <v>-0.62825761999999996</v>
      </c>
      <c r="L216" s="28">
        <v>-0.41686535000000002</v>
      </c>
      <c r="M216" s="28">
        <v>-0.32020281</v>
      </c>
      <c r="N216" s="28">
        <v>-0.33159504000000001</v>
      </c>
      <c r="O216" s="28">
        <v>-0.37860540999999998</v>
      </c>
      <c r="P216" s="28">
        <v>-0.42106990999999999</v>
      </c>
      <c r="Q216" s="28">
        <v>-0.41208274</v>
      </c>
      <c r="R216" s="28"/>
      <c r="S216" s="28" t="s">
        <v>172</v>
      </c>
      <c r="T216" s="28">
        <v>-0.58394902999999998</v>
      </c>
      <c r="U216" s="28">
        <v>-0.39350994</v>
      </c>
      <c r="V216" s="28">
        <v>-0.51785565</v>
      </c>
      <c r="W216" s="28">
        <v>-0.10444568999999999</v>
      </c>
    </row>
    <row r="217" spans="1:23">
      <c r="A217" s="28" t="e">
        <f t="shared" si="38"/>
        <v>#DIV/0!</v>
      </c>
      <c r="B217" s="28" t="e">
        <f t="shared" si="37"/>
        <v>#DIV/0!</v>
      </c>
      <c r="H217" s="28"/>
      <c r="I217" s="28" t="s">
        <v>174</v>
      </c>
      <c r="J217" s="28">
        <v>-0.25562613000000001</v>
      </c>
      <c r="K217" s="28">
        <v>-0.32999752999999998</v>
      </c>
      <c r="L217" s="28">
        <v>-0.34671932999999999</v>
      </c>
      <c r="M217" s="28">
        <v>-0.35974317</v>
      </c>
      <c r="N217" s="28">
        <v>-0.38587565000000001</v>
      </c>
      <c r="O217" s="28">
        <v>-0.41555505999999998</v>
      </c>
      <c r="P217" s="28">
        <v>-0.44047550000000002</v>
      </c>
      <c r="Q217" s="28">
        <v>-0.44799084</v>
      </c>
      <c r="R217" s="28"/>
      <c r="S217" s="28" t="s">
        <v>174</v>
      </c>
      <c r="T217" s="28">
        <v>-3.2356720999999999</v>
      </c>
      <c r="U217" s="28">
        <v>-3.0083240999999998</v>
      </c>
      <c r="V217" s="28">
        <v>-3.5510324</v>
      </c>
      <c r="W217" s="28">
        <v>-1.7237194</v>
      </c>
    </row>
    <row r="218" spans="1:23">
      <c r="A218" s="28" t="e">
        <f t="shared" si="38"/>
        <v>#DIV/0!</v>
      </c>
      <c r="B218" s="28" t="e">
        <f t="shared" si="37"/>
        <v>#DIV/0!</v>
      </c>
      <c r="H218" s="28"/>
      <c r="I218" s="28" t="s">
        <v>177</v>
      </c>
      <c r="J218" s="28">
        <v>0.62321283000000005</v>
      </c>
      <c r="K218" s="28">
        <v>0.45890014000000001</v>
      </c>
      <c r="L218" s="28">
        <v>0.39624351000000002</v>
      </c>
      <c r="M218" s="28">
        <v>0.36681409999999998</v>
      </c>
      <c r="N218" s="28">
        <v>0.35976566999999998</v>
      </c>
      <c r="O218" s="28">
        <v>0.35579904000000001</v>
      </c>
      <c r="P218" s="28">
        <v>0.33952906999999999</v>
      </c>
      <c r="Q218" s="28">
        <v>0.2997494</v>
      </c>
      <c r="R218" s="28"/>
      <c r="S218" s="28" t="s">
        <v>177</v>
      </c>
      <c r="T218" s="28">
        <v>0.23062219</v>
      </c>
      <c r="U218" s="28">
        <v>1.7126957000000002E-2</v>
      </c>
      <c r="V218" s="28">
        <v>-0.15167578000000001</v>
      </c>
      <c r="W218" s="28">
        <v>-2.3751543E-2</v>
      </c>
    </row>
    <row r="219" spans="1:23">
      <c r="A219" s="28" t="e">
        <f t="shared" si="38"/>
        <v>#DIV/0!</v>
      </c>
      <c r="B219" s="28" t="e">
        <f t="shared" si="37"/>
        <v>#DIV/0!</v>
      </c>
      <c r="H219" s="28"/>
      <c r="I219" s="28" t="s">
        <v>179</v>
      </c>
      <c r="J219" s="28">
        <v>0.19574786999999999</v>
      </c>
      <c r="K219" s="28">
        <v>0.23720441</v>
      </c>
      <c r="L219" s="28">
        <v>0.22081342000000001</v>
      </c>
      <c r="M219" s="28">
        <v>0.21151929</v>
      </c>
      <c r="N219" s="28">
        <v>0.22660236</v>
      </c>
      <c r="O219" s="28">
        <v>0.24959629999999999</v>
      </c>
      <c r="P219" s="28">
        <v>0.26694773999999999</v>
      </c>
      <c r="Q219" s="28">
        <v>0.26105641000000002</v>
      </c>
      <c r="R219" s="28"/>
      <c r="S219" s="28" t="s">
        <v>179</v>
      </c>
      <c r="T219" s="28">
        <v>16.275669000000001</v>
      </c>
      <c r="U219" s="28">
        <v>23.545017999999999</v>
      </c>
      <c r="V219" s="28">
        <v>15.065522</v>
      </c>
      <c r="W219" s="28">
        <v>-3.9368854</v>
      </c>
    </row>
    <row r="220" spans="1:23">
      <c r="A220" s="28" t="e">
        <f t="shared" si="38"/>
        <v>#DIV/0!</v>
      </c>
      <c r="B220" s="28" t="e">
        <f t="shared" si="37"/>
        <v>#DIV/0!</v>
      </c>
      <c r="H220" s="28"/>
      <c r="I220" s="28" t="s">
        <v>181</v>
      </c>
      <c r="J220" s="28">
        <v>-8.4198051999999995E-2</v>
      </c>
      <c r="K220" s="28">
        <v>-4.8766762999999998E-2</v>
      </c>
      <c r="L220" s="28">
        <v>-2.1901221000000001E-3</v>
      </c>
      <c r="M220" s="28">
        <v>1.7311732E-2</v>
      </c>
      <c r="N220" s="28">
        <v>1.5222153E-2</v>
      </c>
      <c r="O220" s="28">
        <v>5.3476195000000002E-3</v>
      </c>
      <c r="P220" s="28">
        <v>-7.7716961000000003E-3</v>
      </c>
      <c r="Q220" s="28">
        <v>-1.8123133999999999E-2</v>
      </c>
      <c r="R220" s="28"/>
      <c r="S220" s="28" t="s">
        <v>181</v>
      </c>
      <c r="T220" s="28">
        <v>1.9621074999999999</v>
      </c>
      <c r="U220" s="28">
        <v>0.57065891000000002</v>
      </c>
      <c r="V220" s="28">
        <v>-0.88901627000000005</v>
      </c>
      <c r="W220" s="28">
        <v>-0.74377057000000002</v>
      </c>
    </row>
    <row r="221" spans="1:23">
      <c r="A221" s="28" t="e">
        <f t="shared" si="38"/>
        <v>#DIV/0!</v>
      </c>
      <c r="B221" s="28" t="e">
        <f t="shared" si="37"/>
        <v>#DIV/0!</v>
      </c>
      <c r="H221" s="28"/>
      <c r="I221" s="28" t="s">
        <v>183</v>
      </c>
      <c r="J221" s="28">
        <v>-6.4788476999999997E-2</v>
      </c>
      <c r="K221" s="28">
        <v>-7.4770321000000001E-2</v>
      </c>
      <c r="L221" s="28">
        <v>-6.2505027000000005E-2</v>
      </c>
      <c r="M221" s="28">
        <v>-5.5412858000000002E-2</v>
      </c>
      <c r="N221" s="28">
        <v>-6.0028452000000003E-2</v>
      </c>
      <c r="O221" s="28">
        <v>-6.8242076999999998E-2</v>
      </c>
      <c r="P221" s="28">
        <v>-7.3499064000000003E-2</v>
      </c>
      <c r="Q221" s="28">
        <v>-6.7998643999999997E-2</v>
      </c>
      <c r="R221" s="28"/>
      <c r="S221" s="28" t="s">
        <v>183</v>
      </c>
      <c r="T221" s="28">
        <v>-3.1398708999999997E-2</v>
      </c>
      <c r="U221" s="28">
        <v>5.1323680000000003E-2</v>
      </c>
      <c r="V221" s="28">
        <v>-1.3906317E-2</v>
      </c>
      <c r="W221" s="28">
        <v>-1.7645180000000001E-3</v>
      </c>
    </row>
    <row r="222" spans="1:23">
      <c r="A222" s="28" t="e">
        <f t="shared" si="38"/>
        <v>#DIV/0!</v>
      </c>
      <c r="B222" s="28" t="e">
        <f t="shared" si="37"/>
        <v>#DIV/0!</v>
      </c>
      <c r="H222" s="28"/>
      <c r="I222" s="28" t="s">
        <v>185</v>
      </c>
      <c r="J222" s="28">
        <v>1.0155459E-2</v>
      </c>
      <c r="K222" s="28">
        <v>7.4394752999999997E-3</v>
      </c>
      <c r="L222" s="28">
        <v>1.242331E-2</v>
      </c>
      <c r="M222" s="28">
        <v>1.6082264999999998E-2</v>
      </c>
      <c r="N222" s="28">
        <v>1.8893001999999999E-2</v>
      </c>
      <c r="O222" s="28">
        <v>2.1133398000000001E-2</v>
      </c>
      <c r="P222" s="28">
        <v>2.1507036E-2</v>
      </c>
      <c r="Q222" s="28">
        <v>1.8286782000000001E-2</v>
      </c>
      <c r="R222" s="28"/>
      <c r="S222" s="28" t="s">
        <v>185</v>
      </c>
      <c r="T222" s="28">
        <v>-38.374149000000003</v>
      </c>
      <c r="U222" s="28">
        <v>-95.217179000000002</v>
      </c>
      <c r="V222" s="28">
        <v>-28.603919000000001</v>
      </c>
      <c r="W222" s="28">
        <v>-3.6278939000000001</v>
      </c>
    </row>
    <row r="223" spans="1:23">
      <c r="A223" s="28" t="e">
        <f t="shared" si="38"/>
        <v>#DIV/0!</v>
      </c>
      <c r="B223" s="28" t="e">
        <f t="shared" si="37"/>
        <v>#DIV/0!</v>
      </c>
      <c r="H223" s="28"/>
      <c r="I223" s="28" t="s">
        <v>187</v>
      </c>
      <c r="J223" s="28">
        <v>7.8116899999999996E-3</v>
      </c>
      <c r="K223" s="28">
        <v>8.6832235999999997E-3</v>
      </c>
      <c r="L223" s="28">
        <v>6.6100910000000002E-3</v>
      </c>
      <c r="M223" s="28">
        <v>5.4430996000000001E-3</v>
      </c>
      <c r="N223" s="28">
        <v>6.0266215E-3</v>
      </c>
      <c r="O223" s="28">
        <v>7.1093587999999999E-3</v>
      </c>
      <c r="P223" s="28">
        <v>7.6912485999999997E-3</v>
      </c>
      <c r="Q223" s="28">
        <v>6.6496814999999999E-3</v>
      </c>
      <c r="R223" s="28"/>
      <c r="S223" s="28" t="s">
        <v>187</v>
      </c>
      <c r="T223" s="28">
        <v>-4.2255646999999996</v>
      </c>
      <c r="U223" s="28">
        <v>-0.24379782</v>
      </c>
      <c r="V223" s="28">
        <v>4.7266801000000003</v>
      </c>
      <c r="W223" s="28">
        <v>-0.81224390999999996</v>
      </c>
    </row>
    <row r="224" spans="1:23">
      <c r="A224" s="28" t="e">
        <f t="shared" si="38"/>
        <v>#DIV/0!</v>
      </c>
      <c r="B224" s="28" t="e">
        <f t="shared" si="37"/>
        <v>#DIV/0!</v>
      </c>
      <c r="H224" s="28"/>
      <c r="I224" s="28" t="s">
        <v>189</v>
      </c>
      <c r="J224" s="28">
        <v>2.4635789000000002E-4</v>
      </c>
      <c r="K224" s="28">
        <v>-1.5279304999999999E-4</v>
      </c>
      <c r="L224" s="28">
        <v>1.5401392999999999E-4</v>
      </c>
      <c r="M224" s="28">
        <v>5.1278260999999999E-4</v>
      </c>
      <c r="N224" s="28">
        <v>7.1438443E-4</v>
      </c>
      <c r="O224" s="28">
        <v>8.4561726000000005E-4</v>
      </c>
      <c r="P224" s="28">
        <v>8.8810805999999995E-4</v>
      </c>
      <c r="Q224" s="28">
        <v>7.9576389000000003E-4</v>
      </c>
      <c r="R224" s="28"/>
      <c r="S224" s="28" t="s">
        <v>189</v>
      </c>
      <c r="T224" s="28">
        <v>-0.30743814000000003</v>
      </c>
      <c r="U224" s="28">
        <v>0.25439448999999997</v>
      </c>
      <c r="V224" s="28">
        <v>7.6866619999999997E-2</v>
      </c>
      <c r="W224" s="28">
        <v>-7.8672770000000003E-2</v>
      </c>
    </row>
    <row r="225" spans="1:2">
      <c r="A225" s="28" t="e">
        <f t="shared" si="38"/>
        <v>#DIV/0!</v>
      </c>
      <c r="B225" s="28" t="e">
        <f t="shared" ref="B225:B256" si="39">(EXP(((LN(A225)-$T$20)^2)/(-2*($T$21^2))))/(A225*$T$21*SQRT(2*PI()))</f>
        <v>#DIV/0!</v>
      </c>
    </row>
    <row r="226" spans="1:2">
      <c r="A226" s="28" t="e">
        <f t="shared" ref="A226:A260" si="40">A225+$B$158</f>
        <v>#DIV/0!</v>
      </c>
      <c r="B226" s="28" t="e">
        <f t="shared" si="39"/>
        <v>#DIV/0!</v>
      </c>
    </row>
    <row r="227" spans="1:2">
      <c r="A227" s="28" t="e">
        <f t="shared" si="40"/>
        <v>#DIV/0!</v>
      </c>
      <c r="B227" s="28" t="e">
        <f t="shared" si="39"/>
        <v>#DIV/0!</v>
      </c>
    </row>
    <row r="228" spans="1:2">
      <c r="A228" s="28" t="e">
        <f t="shared" si="40"/>
        <v>#DIV/0!</v>
      </c>
      <c r="B228" s="28" t="e">
        <f t="shared" si="39"/>
        <v>#DIV/0!</v>
      </c>
    </row>
    <row r="229" spans="1:2">
      <c r="A229" s="28" t="e">
        <f t="shared" si="40"/>
        <v>#DIV/0!</v>
      </c>
      <c r="B229" s="28" t="e">
        <f t="shared" si="39"/>
        <v>#DIV/0!</v>
      </c>
    </row>
    <row r="230" spans="1:2">
      <c r="A230" s="28" t="e">
        <f t="shared" si="40"/>
        <v>#DIV/0!</v>
      </c>
      <c r="B230" s="28" t="e">
        <f t="shared" si="39"/>
        <v>#DIV/0!</v>
      </c>
    </row>
    <row r="231" spans="1:2">
      <c r="A231" s="28" t="e">
        <f t="shared" si="40"/>
        <v>#DIV/0!</v>
      </c>
      <c r="B231" s="28" t="e">
        <f t="shared" si="39"/>
        <v>#DIV/0!</v>
      </c>
    </row>
    <row r="232" spans="1:2">
      <c r="A232" s="28" t="e">
        <f t="shared" si="40"/>
        <v>#DIV/0!</v>
      </c>
      <c r="B232" s="28" t="e">
        <f t="shared" si="39"/>
        <v>#DIV/0!</v>
      </c>
    </row>
    <row r="233" spans="1:2">
      <c r="A233" s="28" t="e">
        <f t="shared" si="40"/>
        <v>#DIV/0!</v>
      </c>
      <c r="B233" s="28" t="e">
        <f t="shared" si="39"/>
        <v>#DIV/0!</v>
      </c>
    </row>
    <row r="234" spans="1:2">
      <c r="A234" s="28" t="e">
        <f t="shared" si="40"/>
        <v>#DIV/0!</v>
      </c>
      <c r="B234" s="28" t="e">
        <f t="shared" si="39"/>
        <v>#DIV/0!</v>
      </c>
    </row>
    <row r="235" spans="1:2">
      <c r="A235" s="28" t="e">
        <f t="shared" si="40"/>
        <v>#DIV/0!</v>
      </c>
      <c r="B235" s="28" t="e">
        <f t="shared" si="39"/>
        <v>#DIV/0!</v>
      </c>
    </row>
    <row r="236" spans="1:2">
      <c r="A236" s="28" t="e">
        <f t="shared" si="40"/>
        <v>#DIV/0!</v>
      </c>
      <c r="B236" s="28" t="e">
        <f t="shared" si="39"/>
        <v>#DIV/0!</v>
      </c>
    </row>
    <row r="237" spans="1:2">
      <c r="A237" s="28" t="e">
        <f t="shared" si="40"/>
        <v>#DIV/0!</v>
      </c>
      <c r="B237" s="28" t="e">
        <f t="shared" si="39"/>
        <v>#DIV/0!</v>
      </c>
    </row>
    <row r="238" spans="1:2">
      <c r="A238" s="28" t="e">
        <f t="shared" si="40"/>
        <v>#DIV/0!</v>
      </c>
      <c r="B238" s="28" t="e">
        <f t="shared" si="39"/>
        <v>#DIV/0!</v>
      </c>
    </row>
    <row r="239" spans="1:2">
      <c r="A239" s="28" t="e">
        <f t="shared" si="40"/>
        <v>#DIV/0!</v>
      </c>
      <c r="B239" s="28" t="e">
        <f t="shared" si="39"/>
        <v>#DIV/0!</v>
      </c>
    </row>
    <row r="240" spans="1:2">
      <c r="A240" s="28" t="e">
        <f t="shared" si="40"/>
        <v>#DIV/0!</v>
      </c>
      <c r="B240" s="28" t="e">
        <f t="shared" si="39"/>
        <v>#DIV/0!</v>
      </c>
    </row>
    <row r="241" spans="1:2">
      <c r="A241" s="28" t="e">
        <f t="shared" si="40"/>
        <v>#DIV/0!</v>
      </c>
      <c r="B241" s="28" t="e">
        <f t="shared" si="39"/>
        <v>#DIV/0!</v>
      </c>
    </row>
    <row r="242" spans="1:2">
      <c r="A242" s="28" t="e">
        <f t="shared" si="40"/>
        <v>#DIV/0!</v>
      </c>
      <c r="B242" s="28" t="e">
        <f t="shared" si="39"/>
        <v>#DIV/0!</v>
      </c>
    </row>
    <row r="243" spans="1:2">
      <c r="A243" s="28" t="e">
        <f t="shared" si="40"/>
        <v>#DIV/0!</v>
      </c>
      <c r="B243" s="28" t="e">
        <f t="shared" si="39"/>
        <v>#DIV/0!</v>
      </c>
    </row>
    <row r="244" spans="1:2">
      <c r="A244" s="28" t="e">
        <f t="shared" si="40"/>
        <v>#DIV/0!</v>
      </c>
      <c r="B244" s="28" t="e">
        <f t="shared" si="39"/>
        <v>#DIV/0!</v>
      </c>
    </row>
    <row r="245" spans="1:2">
      <c r="A245" s="28" t="e">
        <f t="shared" si="40"/>
        <v>#DIV/0!</v>
      </c>
      <c r="B245" s="28" t="e">
        <f t="shared" si="39"/>
        <v>#DIV/0!</v>
      </c>
    </row>
    <row r="246" spans="1:2">
      <c r="A246" s="28" t="e">
        <f t="shared" si="40"/>
        <v>#DIV/0!</v>
      </c>
      <c r="B246" s="28" t="e">
        <f t="shared" si="39"/>
        <v>#DIV/0!</v>
      </c>
    </row>
    <row r="247" spans="1:2">
      <c r="A247" s="28" t="e">
        <f t="shared" si="40"/>
        <v>#DIV/0!</v>
      </c>
      <c r="B247" s="28" t="e">
        <f t="shared" si="39"/>
        <v>#DIV/0!</v>
      </c>
    </row>
    <row r="248" spans="1:2">
      <c r="A248" s="28" t="e">
        <f t="shared" si="40"/>
        <v>#DIV/0!</v>
      </c>
      <c r="B248" s="28" t="e">
        <f t="shared" si="39"/>
        <v>#DIV/0!</v>
      </c>
    </row>
    <row r="249" spans="1:2">
      <c r="A249" s="28" t="e">
        <f t="shared" si="40"/>
        <v>#DIV/0!</v>
      </c>
      <c r="B249" s="28" t="e">
        <f t="shared" si="39"/>
        <v>#DIV/0!</v>
      </c>
    </row>
    <row r="250" spans="1:2">
      <c r="A250" s="28" t="e">
        <f t="shared" si="40"/>
        <v>#DIV/0!</v>
      </c>
      <c r="B250" s="28" t="e">
        <f t="shared" si="39"/>
        <v>#DIV/0!</v>
      </c>
    </row>
    <row r="251" spans="1:2">
      <c r="A251" s="28" t="e">
        <f t="shared" si="40"/>
        <v>#DIV/0!</v>
      </c>
      <c r="B251" s="28" t="e">
        <f t="shared" si="39"/>
        <v>#DIV/0!</v>
      </c>
    </row>
    <row r="252" spans="1:2">
      <c r="A252" s="28" t="e">
        <f t="shared" si="40"/>
        <v>#DIV/0!</v>
      </c>
      <c r="B252" s="28" t="e">
        <f t="shared" si="39"/>
        <v>#DIV/0!</v>
      </c>
    </row>
    <row r="253" spans="1:2">
      <c r="A253" s="28" t="e">
        <f t="shared" si="40"/>
        <v>#DIV/0!</v>
      </c>
      <c r="B253" s="28" t="e">
        <f t="shared" si="39"/>
        <v>#DIV/0!</v>
      </c>
    </row>
    <row r="254" spans="1:2">
      <c r="A254" s="28" t="e">
        <f t="shared" si="40"/>
        <v>#DIV/0!</v>
      </c>
      <c r="B254" s="28" t="e">
        <f t="shared" si="39"/>
        <v>#DIV/0!</v>
      </c>
    </row>
    <row r="255" spans="1:2">
      <c r="A255" s="28" t="e">
        <f t="shared" si="40"/>
        <v>#DIV/0!</v>
      </c>
      <c r="B255" s="28" t="e">
        <f t="shared" si="39"/>
        <v>#DIV/0!</v>
      </c>
    </row>
    <row r="256" spans="1:2">
      <c r="A256" s="28" t="e">
        <f t="shared" si="40"/>
        <v>#DIV/0!</v>
      </c>
      <c r="B256" s="28" t="e">
        <f t="shared" si="39"/>
        <v>#DIV/0!</v>
      </c>
    </row>
    <row r="257" spans="1:50">
      <c r="A257" s="28" t="e">
        <f t="shared" si="40"/>
        <v>#DIV/0!</v>
      </c>
      <c r="B257" s="28" t="e">
        <f>(EXP(((LN(A257)-$T$20)^2)/(-2*($T$21^2))))/(A257*$T$21*SQRT(2*PI()))</f>
        <v>#DIV/0!</v>
      </c>
    </row>
    <row r="258" spans="1:50">
      <c r="A258" s="28" t="e">
        <f t="shared" si="40"/>
        <v>#DIV/0!</v>
      </c>
      <c r="B258" s="28" t="e">
        <f>(EXP(((LN(A258)-$T$20)^2)/(-2*($T$21^2))))/(A258*$T$21*SQRT(2*PI()))</f>
        <v>#DIV/0!</v>
      </c>
    </row>
    <row r="259" spans="1:50">
      <c r="A259" s="28" t="e">
        <f t="shared" si="40"/>
        <v>#DIV/0!</v>
      </c>
      <c r="B259" s="28" t="e">
        <f>(EXP(((LN(A259)-$T$20)^2)/(-2*($T$21^2))))/(A259*$T$21*SQRT(2*PI()))</f>
        <v>#DIV/0!</v>
      </c>
    </row>
    <row r="260" spans="1:50">
      <c r="A260" s="28" t="e">
        <f t="shared" si="40"/>
        <v>#DIV/0!</v>
      </c>
      <c r="B260" s="28" t="e">
        <f>(EXP(((LN(A260)-$T$20)^2)/(-2*($T$21^2))))/(A260*$T$21*SQRT(2*PI()))</f>
        <v>#DIV/0!</v>
      </c>
    </row>
    <row r="271" spans="1:50">
      <c r="A271" s="28" t="s">
        <v>226</v>
      </c>
    </row>
    <row r="272" spans="1:50">
      <c r="B272" s="28">
        <v>2</v>
      </c>
      <c r="C272" s="29">
        <v>3</v>
      </c>
      <c r="D272" s="29">
        <v>4</v>
      </c>
      <c r="E272" s="29">
        <v>5</v>
      </c>
      <c r="F272" s="29">
        <v>6</v>
      </c>
      <c r="G272" s="29">
        <v>7</v>
      </c>
      <c r="H272" s="29">
        <v>8</v>
      </c>
      <c r="I272" s="29">
        <v>9</v>
      </c>
      <c r="J272" s="29">
        <v>10</v>
      </c>
      <c r="K272" s="29">
        <v>11</v>
      </c>
      <c r="L272" s="29">
        <v>12</v>
      </c>
      <c r="M272" s="29">
        <v>13</v>
      </c>
      <c r="N272" s="29">
        <v>14</v>
      </c>
      <c r="O272" s="29">
        <v>15</v>
      </c>
      <c r="P272" s="29">
        <v>16</v>
      </c>
      <c r="Q272" s="29">
        <v>17</v>
      </c>
      <c r="R272" s="29">
        <v>18</v>
      </c>
      <c r="S272" s="30">
        <v>19</v>
      </c>
      <c r="T272" s="28">
        <v>20</v>
      </c>
      <c r="U272" s="28">
        <v>21</v>
      </c>
      <c r="V272" s="28">
        <v>22</v>
      </c>
      <c r="W272" s="28">
        <v>23</v>
      </c>
      <c r="X272" s="28">
        <v>24</v>
      </c>
      <c r="Y272" s="28">
        <v>25</v>
      </c>
      <c r="Z272" s="28">
        <v>26</v>
      </c>
      <c r="AA272" s="28">
        <v>27</v>
      </c>
      <c r="AB272" s="28">
        <v>28</v>
      </c>
      <c r="AC272" s="28">
        <v>29</v>
      </c>
      <c r="AD272" s="28">
        <v>30</v>
      </c>
      <c r="AE272" s="28">
        <v>31</v>
      </c>
      <c r="AF272" s="28">
        <v>32</v>
      </c>
      <c r="AG272" s="28">
        <v>33</v>
      </c>
      <c r="AH272" s="28">
        <v>34</v>
      </c>
      <c r="AI272" s="28">
        <v>35</v>
      </c>
      <c r="AJ272" s="28">
        <v>36</v>
      </c>
      <c r="AK272" s="28">
        <v>37</v>
      </c>
      <c r="AL272" s="28">
        <v>38</v>
      </c>
      <c r="AM272" s="28">
        <v>39</v>
      </c>
      <c r="AN272" s="28">
        <v>40</v>
      </c>
      <c r="AO272" s="28">
        <v>41</v>
      </c>
      <c r="AP272" s="28">
        <v>42</v>
      </c>
      <c r="AQ272" s="28">
        <v>43</v>
      </c>
      <c r="AR272" s="28">
        <v>44</v>
      </c>
      <c r="AS272" s="28">
        <v>45</v>
      </c>
      <c r="AT272" s="28">
        <v>46</v>
      </c>
      <c r="AU272" s="28">
        <v>47</v>
      </c>
      <c r="AV272" s="28">
        <v>48</v>
      </c>
      <c r="AW272" s="28">
        <v>49</v>
      </c>
      <c r="AX272" s="28">
        <v>50</v>
      </c>
    </row>
    <row r="273" spans="1:50">
      <c r="A273" s="28">
        <v>1</v>
      </c>
      <c r="B273" s="28">
        <v>0.70709999999999995</v>
      </c>
      <c r="C273" s="29">
        <v>0.70709999999999995</v>
      </c>
      <c r="D273" s="29">
        <v>0.68720000000000003</v>
      </c>
      <c r="E273" s="29">
        <v>0.66459999999999997</v>
      </c>
      <c r="F273" s="29">
        <v>0.6431</v>
      </c>
      <c r="G273" s="29">
        <v>0.62329999999999997</v>
      </c>
      <c r="H273" s="29">
        <v>0.60519999999999996</v>
      </c>
      <c r="I273" s="29">
        <v>0.58879999999999999</v>
      </c>
      <c r="J273" s="29">
        <v>0.57389999999999997</v>
      </c>
      <c r="K273" s="29">
        <v>0.56010000000000004</v>
      </c>
      <c r="L273" s="29">
        <v>0.54749999999999999</v>
      </c>
      <c r="M273" s="29">
        <v>0.53590000000000004</v>
      </c>
      <c r="N273" s="29">
        <v>0.52510000000000001</v>
      </c>
      <c r="O273" s="29">
        <v>0.51500000000000001</v>
      </c>
      <c r="P273" s="29">
        <v>0.50560000000000005</v>
      </c>
      <c r="Q273" s="29">
        <v>0.49680000000000002</v>
      </c>
      <c r="R273" s="29">
        <v>0.48859999999999998</v>
      </c>
      <c r="S273" s="30">
        <v>0.48080000000000001</v>
      </c>
      <c r="T273" s="28">
        <v>0.47339999999999999</v>
      </c>
      <c r="U273" s="28">
        <v>0.46429999999999999</v>
      </c>
      <c r="V273" s="28">
        <v>0.45900000000000002</v>
      </c>
      <c r="W273" s="28">
        <v>0.45419999999999999</v>
      </c>
      <c r="X273" s="28">
        <v>0.44929999999999998</v>
      </c>
      <c r="Y273" s="28">
        <v>0.44500000000000001</v>
      </c>
      <c r="Z273" s="28">
        <v>0.44069999999999998</v>
      </c>
      <c r="AA273" s="28">
        <v>0.43659999999999999</v>
      </c>
      <c r="AB273" s="28">
        <v>0.43280000000000002</v>
      </c>
      <c r="AC273" s="28">
        <v>0.42909999999999998</v>
      </c>
      <c r="AD273" s="28">
        <v>0.4254</v>
      </c>
      <c r="AE273" s="28">
        <v>0.42199999999999999</v>
      </c>
      <c r="AF273" s="28">
        <v>0.41880000000000001</v>
      </c>
      <c r="AG273" s="28">
        <v>0.41560000000000002</v>
      </c>
      <c r="AH273" s="28">
        <v>0.41270000000000001</v>
      </c>
      <c r="AI273" s="28">
        <v>0.40960000000000002</v>
      </c>
      <c r="AJ273" s="28">
        <v>0.40679999999999999</v>
      </c>
      <c r="AK273" s="28">
        <v>0.40400000000000003</v>
      </c>
      <c r="AL273" s="28">
        <v>0.40150000000000002</v>
      </c>
      <c r="AM273" s="28">
        <v>0.39889999999999998</v>
      </c>
      <c r="AN273" s="28">
        <v>0.39639999999999997</v>
      </c>
      <c r="AO273" s="28">
        <v>0.39400000000000002</v>
      </c>
      <c r="AP273" s="28">
        <v>0.39169999999999999</v>
      </c>
      <c r="AQ273" s="28">
        <v>0.38940000000000002</v>
      </c>
      <c r="AR273" s="28">
        <v>0.38719999999999999</v>
      </c>
      <c r="AS273" s="28">
        <v>0.38500000000000001</v>
      </c>
      <c r="AT273" s="28">
        <v>0.38300000000000001</v>
      </c>
      <c r="AU273" s="28">
        <v>0.38080000000000003</v>
      </c>
      <c r="AV273" s="28">
        <v>0.37890000000000001</v>
      </c>
      <c r="AW273" s="28">
        <v>0.377</v>
      </c>
      <c r="AX273" s="28">
        <v>0.37509999999999999</v>
      </c>
    </row>
    <row r="274" spans="1:50">
      <c r="A274" s="28">
        <v>2</v>
      </c>
      <c r="C274" s="29">
        <v>0</v>
      </c>
      <c r="D274" s="29">
        <v>0.16769999999999999</v>
      </c>
      <c r="E274" s="29">
        <v>0.24129999999999999</v>
      </c>
      <c r="F274" s="29">
        <v>0.28960000000000002</v>
      </c>
      <c r="G274" s="29">
        <v>0.30309999999999998</v>
      </c>
      <c r="H274" s="29">
        <v>0.31640000000000001</v>
      </c>
      <c r="I274" s="29">
        <v>0.32440000000000002</v>
      </c>
      <c r="J274" s="29">
        <v>0.3291</v>
      </c>
      <c r="K274" s="29">
        <v>0.33150000000000002</v>
      </c>
      <c r="L274" s="29">
        <v>0.33250000000000002</v>
      </c>
      <c r="M274" s="29">
        <v>0.33250000000000002</v>
      </c>
      <c r="N274" s="29">
        <v>0.33179999999999998</v>
      </c>
      <c r="O274" s="29">
        <v>0.3306</v>
      </c>
      <c r="P274" s="29">
        <v>0.32900000000000001</v>
      </c>
      <c r="Q274" s="29">
        <v>0.32729999999999998</v>
      </c>
      <c r="R274" s="29">
        <v>0.32529999999999998</v>
      </c>
      <c r="S274" s="30">
        <v>0.32319999999999999</v>
      </c>
      <c r="T274" s="28">
        <v>0.3211</v>
      </c>
      <c r="U274" s="28">
        <v>0.31850000000000001</v>
      </c>
      <c r="V274" s="28">
        <v>0.31559999999999999</v>
      </c>
      <c r="W274" s="28">
        <v>0.31259999999999999</v>
      </c>
      <c r="X274" s="28">
        <v>0.30980000000000002</v>
      </c>
      <c r="Y274" s="28">
        <v>0.30690000000000001</v>
      </c>
      <c r="Z274" s="28">
        <v>0.30430000000000001</v>
      </c>
      <c r="AA274" s="28">
        <v>0.30180000000000001</v>
      </c>
      <c r="AB274" s="28">
        <v>0.29920000000000002</v>
      </c>
      <c r="AC274" s="28">
        <v>0.29680000000000001</v>
      </c>
      <c r="AD274" s="28">
        <v>0.2944</v>
      </c>
      <c r="AE274" s="28">
        <v>0.29210000000000003</v>
      </c>
      <c r="AF274" s="28">
        <v>0.2898</v>
      </c>
      <c r="AG274" s="28">
        <v>2876</v>
      </c>
      <c r="AH274" s="28">
        <v>0.28539999999999999</v>
      </c>
      <c r="AI274" s="28">
        <v>0.28339999999999999</v>
      </c>
      <c r="AJ274" s="28">
        <v>0.28129999999999999</v>
      </c>
      <c r="AK274" s="28">
        <v>0.27939999999999998</v>
      </c>
      <c r="AL274" s="28">
        <v>0.27739999999999998</v>
      </c>
      <c r="AM274" s="28">
        <v>0.27550000000000002</v>
      </c>
      <c r="AN274" s="28">
        <v>0.2737</v>
      </c>
      <c r="AO274" s="28">
        <v>0.27189999999999998</v>
      </c>
      <c r="AP274" s="28">
        <v>0.27010000000000001</v>
      </c>
      <c r="AQ274" s="28">
        <v>0.26840000000000003</v>
      </c>
      <c r="AR274" s="28">
        <v>0.26669999999999999</v>
      </c>
      <c r="AS274" s="28">
        <v>0.2651</v>
      </c>
      <c r="AT274" s="28">
        <v>0.26350000000000001</v>
      </c>
      <c r="AU274" s="28">
        <v>0.26200000000000001</v>
      </c>
      <c r="AV274" s="28">
        <v>0.26040000000000002</v>
      </c>
      <c r="AW274" s="28">
        <v>0.25890000000000002</v>
      </c>
      <c r="AX274" s="28">
        <v>0.25740000000000002</v>
      </c>
    </row>
    <row r="275" spans="1:50">
      <c r="A275" s="28">
        <v>3</v>
      </c>
      <c r="E275" s="29">
        <v>0</v>
      </c>
      <c r="F275" s="29">
        <v>8.7499999999999994E-2</v>
      </c>
      <c r="G275" s="29">
        <v>0.1401</v>
      </c>
      <c r="H275" s="29">
        <v>0.17430000000000001</v>
      </c>
      <c r="I275" s="29">
        <v>0.1976</v>
      </c>
      <c r="J275" s="29">
        <v>0.21410000000000001</v>
      </c>
      <c r="K275" s="29">
        <v>0.22600000000000001</v>
      </c>
      <c r="L275" s="29">
        <v>0.23469999999999999</v>
      </c>
      <c r="M275" s="29">
        <v>0.2412</v>
      </c>
      <c r="N275" s="29">
        <v>0.246</v>
      </c>
      <c r="O275" s="29">
        <v>0.2495</v>
      </c>
      <c r="P275" s="29">
        <v>0.25209999999999999</v>
      </c>
      <c r="Q275" s="29">
        <v>0.254</v>
      </c>
      <c r="R275" s="29">
        <v>0.25530000000000003</v>
      </c>
      <c r="S275" s="30">
        <v>0.25609999999999999</v>
      </c>
      <c r="T275" s="28">
        <v>0.25650000000000001</v>
      </c>
      <c r="U275" s="28">
        <v>0.25779999999999997</v>
      </c>
      <c r="V275" s="28">
        <v>0.2571</v>
      </c>
      <c r="W275" s="28">
        <v>0.25629999999999997</v>
      </c>
      <c r="X275" s="28">
        <v>0.25540000000000002</v>
      </c>
      <c r="Y275" s="28">
        <v>0.25430000000000003</v>
      </c>
      <c r="Z275" s="28">
        <v>0.25330000000000003</v>
      </c>
      <c r="AA275" s="28">
        <v>0.25219999999999998</v>
      </c>
      <c r="AB275" s="28">
        <v>0.251</v>
      </c>
      <c r="AC275" s="28">
        <v>0.24990000000000001</v>
      </c>
      <c r="AD275" s="28">
        <v>0.2487</v>
      </c>
      <c r="AE275" s="28">
        <v>0.2475</v>
      </c>
      <c r="AF275" s="28">
        <v>0.2462</v>
      </c>
      <c r="AG275" s="28">
        <v>0.24510000000000001</v>
      </c>
      <c r="AH275" s="28">
        <v>0.24390000000000001</v>
      </c>
      <c r="AI275" s="28">
        <v>0.2427</v>
      </c>
      <c r="AJ275" s="28">
        <v>0.24149999999999999</v>
      </c>
      <c r="AK275" s="28">
        <v>0.24030000000000001</v>
      </c>
      <c r="AL275" s="28">
        <v>0.23910000000000001</v>
      </c>
      <c r="AM275" s="28">
        <v>0.23799999999999999</v>
      </c>
      <c r="AN275" s="28">
        <v>0.23680000000000001</v>
      </c>
      <c r="AO275" s="28">
        <v>0.23569999999999999</v>
      </c>
      <c r="AP275" s="28">
        <v>0.23449999999999999</v>
      </c>
      <c r="AQ275" s="28">
        <v>0.2334</v>
      </c>
      <c r="AR275" s="28">
        <v>0.23230000000000001</v>
      </c>
      <c r="AS275" s="28">
        <v>0.23130000000000001</v>
      </c>
      <c r="AT275" s="28">
        <v>0.23019999999999999</v>
      </c>
      <c r="AU275" s="28">
        <v>0.2291</v>
      </c>
      <c r="AV275" s="28">
        <v>0.2281</v>
      </c>
      <c r="AW275" s="28">
        <v>0.2271</v>
      </c>
      <c r="AX275" s="28">
        <v>0.22600000000000001</v>
      </c>
    </row>
    <row r="276" spans="1:50">
      <c r="A276" s="28">
        <v>4</v>
      </c>
      <c r="G276" s="29">
        <v>0</v>
      </c>
      <c r="H276" s="29">
        <v>5.6099999999999997E-2</v>
      </c>
      <c r="I276" s="29">
        <v>9.4700000000000006E-2</v>
      </c>
      <c r="J276" s="29">
        <v>0.12239999999999999</v>
      </c>
      <c r="K276" s="29">
        <v>0.1429</v>
      </c>
      <c r="L276" s="29">
        <v>0.15859999999999999</v>
      </c>
      <c r="M276" s="29">
        <v>0.17069999999999999</v>
      </c>
      <c r="N276" s="29">
        <v>0.1802</v>
      </c>
      <c r="O276" s="29">
        <v>0.18779999999999999</v>
      </c>
      <c r="P276" s="29">
        <v>0.19389999999999999</v>
      </c>
      <c r="Q276" s="29">
        <v>0.1988</v>
      </c>
      <c r="R276" s="29">
        <v>0.20269999999999999</v>
      </c>
      <c r="S276" s="30">
        <v>0.2059</v>
      </c>
      <c r="T276" s="28">
        <v>0.20849999999999999</v>
      </c>
      <c r="U276" s="28">
        <v>0.21190000000000001</v>
      </c>
      <c r="V276" s="28">
        <v>0.21310000000000001</v>
      </c>
      <c r="W276" s="28">
        <v>0.21390000000000001</v>
      </c>
      <c r="X276" s="28">
        <v>0.2145</v>
      </c>
      <c r="Y276" s="28">
        <v>0.21479999999999999</v>
      </c>
      <c r="Z276" s="28">
        <v>0.21510000000000001</v>
      </c>
      <c r="AA276" s="28">
        <v>0.2152</v>
      </c>
      <c r="AB276" s="28">
        <v>0.21510000000000001</v>
      </c>
      <c r="AC276" s="28">
        <v>0.215</v>
      </c>
      <c r="AD276" s="28">
        <v>0.21479999999999999</v>
      </c>
      <c r="AE276" s="28">
        <v>0.2145</v>
      </c>
      <c r="AF276" s="28">
        <v>0.21410000000000001</v>
      </c>
      <c r="AG276" s="28">
        <v>0.2137</v>
      </c>
      <c r="AH276" s="28">
        <v>0.2132</v>
      </c>
      <c r="AI276" s="28">
        <v>0.2127</v>
      </c>
      <c r="AJ276" s="28">
        <v>0.21210000000000001</v>
      </c>
      <c r="AK276" s="28">
        <v>0.21160000000000001</v>
      </c>
      <c r="AL276" s="28">
        <v>0.21099999999999999</v>
      </c>
      <c r="AM276" s="28">
        <v>0.2104</v>
      </c>
      <c r="AN276" s="28">
        <v>0.20979999999999999</v>
      </c>
      <c r="AO276" s="28">
        <v>0.20910000000000001</v>
      </c>
      <c r="AP276" s="28">
        <v>0.20849999999999999</v>
      </c>
      <c r="AQ276" s="28">
        <v>0.20780000000000001</v>
      </c>
      <c r="AR276" s="28">
        <v>0.2072</v>
      </c>
      <c r="AS276" s="28">
        <v>0.20649999999999999</v>
      </c>
      <c r="AT276" s="28">
        <v>0.20580000000000001</v>
      </c>
      <c r="AU276" s="28">
        <v>0.20519999999999999</v>
      </c>
      <c r="AV276" s="28">
        <v>0.20449999999999999</v>
      </c>
      <c r="AW276" s="28">
        <v>0.20380000000000001</v>
      </c>
      <c r="AX276" s="28">
        <v>0.20319999999999999</v>
      </c>
    </row>
    <row r="277" spans="1:50">
      <c r="A277" s="28">
        <v>5</v>
      </c>
      <c r="I277" s="29">
        <v>0</v>
      </c>
      <c r="J277" s="29">
        <v>3.9899999999999998E-2</v>
      </c>
      <c r="K277" s="29">
        <v>6.9500000000000006E-2</v>
      </c>
      <c r="L277" s="29">
        <v>9.2200000000000004E-2</v>
      </c>
      <c r="M277" s="29">
        <v>0.1099</v>
      </c>
      <c r="N277" s="29">
        <v>0.124</v>
      </c>
      <c r="O277" s="29">
        <v>0.1353</v>
      </c>
      <c r="P277" s="29">
        <v>0.1447</v>
      </c>
      <c r="Q277" s="29">
        <v>0.15240000000000001</v>
      </c>
      <c r="R277" s="29">
        <v>0.15870000000000001</v>
      </c>
      <c r="S277" s="30">
        <v>0.1641</v>
      </c>
      <c r="T277" s="28">
        <v>0.1686</v>
      </c>
      <c r="U277" s="28">
        <v>0.1736</v>
      </c>
      <c r="V277" s="28">
        <v>0.1764</v>
      </c>
      <c r="W277" s="28">
        <v>0.1787</v>
      </c>
      <c r="X277" s="28">
        <v>0.1807</v>
      </c>
      <c r="Y277" s="28">
        <v>0.1822</v>
      </c>
      <c r="Z277" s="28">
        <v>0.18360000000000001</v>
      </c>
      <c r="AA277" s="28">
        <v>0.18479999999999999</v>
      </c>
      <c r="AB277" s="28">
        <v>0.1857</v>
      </c>
      <c r="AC277" s="28">
        <v>0.18640000000000001</v>
      </c>
      <c r="AD277" s="28">
        <v>0.187</v>
      </c>
      <c r="AE277" s="28">
        <v>0.18740000000000001</v>
      </c>
      <c r="AF277" s="28">
        <v>0.18779999999999999</v>
      </c>
      <c r="AG277" s="28">
        <v>0.188</v>
      </c>
      <c r="AH277" s="28">
        <v>0.18820000000000001</v>
      </c>
      <c r="AI277" s="28">
        <v>0.1883</v>
      </c>
      <c r="AJ277" s="28">
        <v>0.1883</v>
      </c>
      <c r="AK277" s="28">
        <v>0.1883</v>
      </c>
      <c r="AL277" s="28">
        <v>0.18809999999999999</v>
      </c>
      <c r="AM277" s="28">
        <v>0.188</v>
      </c>
      <c r="AN277" s="28">
        <v>0.18779999999999999</v>
      </c>
      <c r="AO277" s="28">
        <v>0.18759999999999999</v>
      </c>
      <c r="AP277" s="28">
        <v>0.18740000000000001</v>
      </c>
      <c r="AQ277" s="28">
        <v>0.18709999999999999</v>
      </c>
      <c r="AR277" s="28">
        <v>0.18679999999999999</v>
      </c>
      <c r="AS277" s="28">
        <v>0.1865</v>
      </c>
      <c r="AT277" s="28">
        <v>0.1862</v>
      </c>
      <c r="AU277" s="28">
        <v>0.18590000000000001</v>
      </c>
      <c r="AV277" s="28">
        <v>0.1855</v>
      </c>
      <c r="AW277" s="28">
        <v>0.18509999999999999</v>
      </c>
      <c r="AX277" s="28">
        <v>0.1847</v>
      </c>
    </row>
    <row r="278" spans="1:50">
      <c r="A278" s="28">
        <v>6</v>
      </c>
      <c r="K278" s="29">
        <v>0</v>
      </c>
      <c r="L278" s="29">
        <v>3.0300000000000001E-2</v>
      </c>
      <c r="M278" s="29">
        <v>5.3900000000000003E-2</v>
      </c>
      <c r="N278" s="29">
        <v>7.2700000000000001E-2</v>
      </c>
      <c r="O278" s="29">
        <v>8.7999999999999995E-2</v>
      </c>
      <c r="P278" s="29">
        <v>0.10050000000000001</v>
      </c>
      <c r="Q278" s="29">
        <v>0.1109</v>
      </c>
      <c r="R278" s="29">
        <v>0.1197</v>
      </c>
      <c r="S278" s="30">
        <v>0.12709999999999999</v>
      </c>
      <c r="T278" s="28">
        <v>0.13339999999999999</v>
      </c>
      <c r="U278" s="28">
        <v>0.1399</v>
      </c>
      <c r="V278" s="28">
        <v>0.14430000000000001</v>
      </c>
      <c r="W278" s="28">
        <v>0.14799999999999999</v>
      </c>
      <c r="X278" s="28">
        <v>0.1512</v>
      </c>
      <c r="Y278" s="28">
        <v>0.15390000000000001</v>
      </c>
      <c r="Z278" s="28">
        <v>0.15629999999999999</v>
      </c>
      <c r="AA278" s="28">
        <v>0.15840000000000001</v>
      </c>
      <c r="AB278" s="28">
        <v>0.16009999999999999</v>
      </c>
      <c r="AC278" s="28">
        <v>0.16159999999999999</v>
      </c>
      <c r="AD278" s="28">
        <v>0.16300000000000001</v>
      </c>
      <c r="AE278" s="28">
        <v>0.1641</v>
      </c>
      <c r="AF278" s="28">
        <v>0.1651</v>
      </c>
      <c r="AG278" s="28">
        <v>0.16600000000000001</v>
      </c>
      <c r="AH278" s="28">
        <v>0.16669999999999999</v>
      </c>
      <c r="AI278" s="28">
        <v>0.1673</v>
      </c>
      <c r="AJ278" s="28">
        <v>0.1678</v>
      </c>
      <c r="AK278" s="28">
        <v>0.16830000000000001</v>
      </c>
      <c r="AL278" s="28">
        <v>0.1686</v>
      </c>
      <c r="AM278" s="28">
        <v>0.16889999999999999</v>
      </c>
      <c r="AN278" s="28">
        <v>0.1691</v>
      </c>
      <c r="AO278" s="28">
        <v>0.16930000000000001</v>
      </c>
      <c r="AP278" s="28">
        <v>0.1694</v>
      </c>
      <c r="AQ278" s="28">
        <v>0.16950000000000001</v>
      </c>
      <c r="AR278" s="28">
        <v>0.16950000000000001</v>
      </c>
      <c r="AS278" s="28">
        <v>0.16950000000000001</v>
      </c>
      <c r="AT278" s="28">
        <v>0.16950000000000001</v>
      </c>
      <c r="AU278" s="28">
        <v>0.16950000000000001</v>
      </c>
      <c r="AV278" s="28">
        <v>0.16930000000000001</v>
      </c>
      <c r="AW278" s="28">
        <v>0.16919999999999999</v>
      </c>
      <c r="AX278" s="28">
        <v>0.1691</v>
      </c>
    </row>
    <row r="279" spans="1:50">
      <c r="A279" s="28">
        <v>7</v>
      </c>
      <c r="M279" s="29">
        <v>0</v>
      </c>
      <c r="N279" s="29">
        <v>2.4E-2</v>
      </c>
      <c r="O279" s="29">
        <v>4.3299999999999998E-2</v>
      </c>
      <c r="P279" s="29">
        <v>5.9299999999999999E-2</v>
      </c>
      <c r="Q279" s="29">
        <v>7.2499999999999995E-2</v>
      </c>
      <c r="R279" s="29">
        <v>8.3699999999999997E-2</v>
      </c>
      <c r="S279" s="30">
        <v>9.3200000000000005E-2</v>
      </c>
      <c r="T279" s="28">
        <v>0.1013</v>
      </c>
      <c r="U279" s="28">
        <v>0.10920000000000001</v>
      </c>
      <c r="V279" s="28">
        <v>0.115</v>
      </c>
      <c r="W279" s="28">
        <v>0.1201</v>
      </c>
      <c r="X279" s="28">
        <v>0.1245</v>
      </c>
      <c r="Y279" s="28">
        <v>0.1283</v>
      </c>
      <c r="Z279" s="28">
        <v>0.13159999999999999</v>
      </c>
      <c r="AA279" s="28">
        <v>0.1346</v>
      </c>
      <c r="AB279" s="28">
        <v>0.13719999999999999</v>
      </c>
      <c r="AC279" s="28">
        <v>0.13950000000000001</v>
      </c>
      <c r="AD279" s="28">
        <v>0.14149999999999999</v>
      </c>
      <c r="AE279" s="28">
        <v>0.14330000000000001</v>
      </c>
      <c r="AF279" s="28">
        <v>0.1449</v>
      </c>
      <c r="AG279" s="28">
        <v>0.14630000000000001</v>
      </c>
      <c r="AH279" s="28">
        <v>0.14749999999999999</v>
      </c>
      <c r="AI279" s="28">
        <v>0.1487</v>
      </c>
      <c r="AJ279" s="28">
        <v>0.14960000000000001</v>
      </c>
      <c r="AK279" s="28">
        <v>0.15049999999999999</v>
      </c>
      <c r="AL279" s="28">
        <v>0.15129999999999999</v>
      </c>
      <c r="AM279" s="28">
        <v>0.152</v>
      </c>
      <c r="AN279" s="28">
        <v>0.15260000000000001</v>
      </c>
      <c r="AO279" s="28">
        <v>0.15310000000000001</v>
      </c>
      <c r="AP279" s="28">
        <v>0.1535</v>
      </c>
      <c r="AQ279" s="28">
        <v>0.15390000000000001</v>
      </c>
      <c r="AR279" s="28">
        <v>0.1542</v>
      </c>
      <c r="AS279" s="28">
        <v>0.1545</v>
      </c>
      <c r="AT279" s="28">
        <v>0.15479999999999999</v>
      </c>
      <c r="AU279" s="28">
        <v>0.155</v>
      </c>
      <c r="AV279" s="28">
        <v>0.15509999999999999</v>
      </c>
      <c r="AW279" s="28">
        <v>0.15529999999999999</v>
      </c>
      <c r="AX279" s="28">
        <v>0.15540000000000001</v>
      </c>
    </row>
    <row r="280" spans="1:50">
      <c r="A280" s="28">
        <v>8</v>
      </c>
      <c r="O280" s="29">
        <v>0</v>
      </c>
      <c r="P280" s="29">
        <v>1.9599999999999999E-2</v>
      </c>
      <c r="Q280" s="29">
        <v>3.5900000000000001E-2</v>
      </c>
      <c r="R280" s="29">
        <v>4.9599999999999998E-2</v>
      </c>
      <c r="S280" s="30">
        <v>6.1199999999999997E-2</v>
      </c>
      <c r="T280" s="28">
        <v>7.1099999999999997E-2</v>
      </c>
      <c r="U280" s="28">
        <v>8.0399999999999999E-2</v>
      </c>
      <c r="V280" s="28">
        <v>8.7800000000000003E-2</v>
      </c>
      <c r="W280" s="28">
        <v>9.4100000000000003E-2</v>
      </c>
      <c r="X280" s="28">
        <v>9.9699999999999997E-2</v>
      </c>
      <c r="Y280" s="28">
        <v>0.1046</v>
      </c>
      <c r="Z280" s="28">
        <v>0.1089</v>
      </c>
      <c r="AA280" s="28">
        <v>0.1128</v>
      </c>
      <c r="AB280" s="28">
        <v>0.1162</v>
      </c>
      <c r="AC280" s="28">
        <v>0.1192</v>
      </c>
      <c r="AD280" s="28">
        <v>0.12189999999999999</v>
      </c>
      <c r="AE280" s="28">
        <v>0.12429999999999999</v>
      </c>
      <c r="AF280" s="28">
        <v>0.1265</v>
      </c>
      <c r="AG280" s="28">
        <v>0.12839999999999999</v>
      </c>
      <c r="AH280" s="28">
        <v>0.13009999999999999</v>
      </c>
      <c r="AI280" s="28">
        <v>0.13170000000000001</v>
      </c>
      <c r="AJ280" s="28">
        <v>0.1331</v>
      </c>
      <c r="AK280" s="28">
        <v>0.13439999999999999</v>
      </c>
      <c r="AL280" s="28">
        <v>0.1356</v>
      </c>
      <c r="AM280" s="28">
        <v>0.1366</v>
      </c>
      <c r="AN280" s="28">
        <v>0.1376</v>
      </c>
      <c r="AO280" s="28">
        <v>0.1384</v>
      </c>
      <c r="AP280" s="28">
        <v>0.13919999999999999</v>
      </c>
      <c r="AQ280" s="28">
        <v>0.13980000000000001</v>
      </c>
      <c r="AR280" s="28">
        <v>0.14050000000000001</v>
      </c>
      <c r="AS280" s="28">
        <v>0.14099999999999999</v>
      </c>
      <c r="AT280" s="28">
        <v>0.14149999999999999</v>
      </c>
      <c r="AU280" s="28">
        <v>0.14199999999999999</v>
      </c>
      <c r="AV280" s="28">
        <v>0.14230000000000001</v>
      </c>
      <c r="AW280" s="28">
        <v>0.14269999999999999</v>
      </c>
      <c r="AX280" s="28">
        <v>0.14299999999999999</v>
      </c>
    </row>
    <row r="281" spans="1:50">
      <c r="A281" s="28">
        <v>9</v>
      </c>
      <c r="Q281" s="29">
        <v>0</v>
      </c>
      <c r="R281" s="29">
        <v>1.6299999999999999E-2</v>
      </c>
      <c r="S281" s="30">
        <v>3.0300000000000001E-2</v>
      </c>
      <c r="T281" s="28">
        <v>4.2200000000000001E-2</v>
      </c>
      <c r="U281" s="28">
        <v>5.2999999999999999E-2</v>
      </c>
      <c r="V281" s="28">
        <v>6.1800000000000001E-2</v>
      </c>
      <c r="W281" s="28">
        <v>6.9599999999999995E-2</v>
      </c>
      <c r="X281" s="28">
        <v>7.6399999999999996E-2</v>
      </c>
      <c r="Y281" s="28">
        <v>8.2299999999999998E-2</v>
      </c>
      <c r="Z281" s="28">
        <v>8.7599999999999997E-2</v>
      </c>
      <c r="AA281" s="28">
        <v>9.2299999999999993E-2</v>
      </c>
      <c r="AB281" s="28">
        <v>9.6500000000000002E-2</v>
      </c>
      <c r="AC281" s="28">
        <v>0.1002</v>
      </c>
      <c r="AD281" s="28">
        <v>0.1036</v>
      </c>
      <c r="AE281" s="28">
        <v>0.1066</v>
      </c>
      <c r="AF281" s="28">
        <v>0.10929999999999999</v>
      </c>
      <c r="AG281" s="28">
        <v>0.1116</v>
      </c>
      <c r="AH281" s="28">
        <v>0.114</v>
      </c>
      <c r="AI281" s="28">
        <v>0.11600000000000001</v>
      </c>
      <c r="AJ281" s="28">
        <v>0.1179</v>
      </c>
      <c r="AK281" s="28">
        <v>0.1196</v>
      </c>
      <c r="AL281" s="28">
        <v>0.1211</v>
      </c>
      <c r="AM281" s="28">
        <v>0.1225</v>
      </c>
      <c r="AN281" s="28">
        <v>0.1237</v>
      </c>
      <c r="AO281" s="28">
        <v>0.1249</v>
      </c>
      <c r="AP281" s="28">
        <v>0.12590000000000001</v>
      </c>
      <c r="AQ281" s="28">
        <v>0.12690000000000001</v>
      </c>
      <c r="AR281" s="28">
        <v>0.1278</v>
      </c>
      <c r="AS281" s="28">
        <v>0.12859999999999999</v>
      </c>
      <c r="AT281" s="28">
        <v>0.1293</v>
      </c>
      <c r="AU281" s="28">
        <v>0.13</v>
      </c>
      <c r="AV281" s="28">
        <v>0.13059999999999999</v>
      </c>
      <c r="AW281" s="28">
        <v>0.13120000000000001</v>
      </c>
      <c r="AX281" s="28">
        <v>0.13170000000000001</v>
      </c>
    </row>
    <row r="282" spans="1:50">
      <c r="A282" s="28">
        <v>10</v>
      </c>
      <c r="S282" s="30">
        <v>0</v>
      </c>
      <c r="T282" s="28">
        <v>1.4E-2</v>
      </c>
      <c r="U282" s="28">
        <v>2.63E-2</v>
      </c>
      <c r="V282" s="28">
        <v>3.6799999999999999E-2</v>
      </c>
      <c r="W282" s="28">
        <v>4.5900000000000003E-2</v>
      </c>
      <c r="X282" s="28">
        <v>5.3900000000000003E-2</v>
      </c>
      <c r="Y282" s="28">
        <v>6.0999999999999999E-2</v>
      </c>
      <c r="Z282" s="28">
        <v>6.7199999999999996E-2</v>
      </c>
      <c r="AA282" s="28">
        <v>7.2800000000000004E-2</v>
      </c>
      <c r="AB282" s="28">
        <v>7.7799999999999994E-2</v>
      </c>
      <c r="AC282" s="28">
        <v>8.2199999999999995E-2</v>
      </c>
      <c r="AD282" s="28">
        <v>8.6199999999999999E-2</v>
      </c>
      <c r="AE282" s="28">
        <v>8.9899999999999994E-2</v>
      </c>
      <c r="AF282" s="28">
        <v>9.3100000000000002E-2</v>
      </c>
      <c r="AG282" s="28">
        <v>9.6100000000000005E-2</v>
      </c>
      <c r="AH282" s="28">
        <v>9.8799999999999999E-2</v>
      </c>
      <c r="AI282" s="28">
        <v>0.1013</v>
      </c>
      <c r="AJ282" s="28">
        <v>0.1036</v>
      </c>
      <c r="AK282" s="28">
        <v>0.1056</v>
      </c>
      <c r="AL282" s="28">
        <v>0.1075</v>
      </c>
      <c r="AM282" s="28">
        <v>0.10920000000000001</v>
      </c>
      <c r="AN282" s="28">
        <v>0.1108</v>
      </c>
      <c r="AO282" s="28">
        <v>0.1123</v>
      </c>
      <c r="AP282" s="28">
        <v>0.11360000000000001</v>
      </c>
      <c r="AQ282" s="28">
        <v>0.1149</v>
      </c>
      <c r="AR282" s="28">
        <v>0.11600000000000001</v>
      </c>
      <c r="AS282" s="28">
        <v>0.11700000000000001</v>
      </c>
      <c r="AT282" s="28">
        <v>0.11799999999999999</v>
      </c>
      <c r="AU282" s="28">
        <v>0.11890000000000001</v>
      </c>
      <c r="AV282" s="28">
        <v>0.1197</v>
      </c>
      <c r="AW282" s="28">
        <v>0.1205</v>
      </c>
      <c r="AX282" s="28">
        <v>0.1212</v>
      </c>
    </row>
    <row r="283" spans="1:50">
      <c r="A283" s="28">
        <v>11</v>
      </c>
      <c r="U283" s="28">
        <v>0</v>
      </c>
      <c r="V283" s="28">
        <v>1.2200000000000001E-2</v>
      </c>
      <c r="W283" s="28">
        <v>2.2800000000000001E-2</v>
      </c>
      <c r="X283" s="28">
        <v>3.2099999999999997E-2</v>
      </c>
      <c r="Y283" s="28">
        <v>4.0300000000000002E-2</v>
      </c>
      <c r="Z283" s="28">
        <v>4.7600000000000003E-2</v>
      </c>
      <c r="AA283" s="28">
        <v>5.3999999999999999E-2</v>
      </c>
      <c r="AB283" s="28">
        <v>5.9799999999999999E-2</v>
      </c>
      <c r="AC283" s="28">
        <v>6.5000000000000002E-2</v>
      </c>
      <c r="AD283" s="28">
        <v>6.9699999999999998E-2</v>
      </c>
      <c r="AE283" s="28">
        <v>7.3899999999999993E-2</v>
      </c>
      <c r="AF283" s="28">
        <v>7.7700000000000005E-2</v>
      </c>
      <c r="AG283" s="28">
        <v>8.1199999999999994E-2</v>
      </c>
      <c r="AH283" s="28">
        <v>8.4400000000000003E-2</v>
      </c>
      <c r="AI283" s="28">
        <v>8.7300000000000003E-2</v>
      </c>
      <c r="AJ283" s="28">
        <v>0.09</v>
      </c>
      <c r="AK283" s="28">
        <v>9.2399999999999996E-2</v>
      </c>
      <c r="AL283" s="28">
        <v>9.4700000000000006E-2</v>
      </c>
      <c r="AM283" s="28">
        <v>9.6699999999999994E-2</v>
      </c>
      <c r="AN283" s="28">
        <v>9.8599999999999993E-2</v>
      </c>
      <c r="AO283" s="28">
        <v>0.1004</v>
      </c>
      <c r="AP283" s="28">
        <v>0.10199999999999999</v>
      </c>
      <c r="AQ283" s="28">
        <v>0.10349999999999999</v>
      </c>
      <c r="AR283" s="28">
        <v>0.10489999999999999</v>
      </c>
      <c r="AS283" s="28">
        <v>0.1062</v>
      </c>
      <c r="AT283" s="28">
        <v>0.10730000000000001</v>
      </c>
      <c r="AU283" s="28">
        <v>0.1085</v>
      </c>
      <c r="AV283" s="28">
        <v>0.1095</v>
      </c>
      <c r="AW283" s="28">
        <v>0.1105</v>
      </c>
      <c r="AX283" s="28">
        <v>0.1113</v>
      </c>
    </row>
    <row r="284" spans="1:50">
      <c r="A284" s="28">
        <v>12</v>
      </c>
      <c r="W284" s="28">
        <v>0</v>
      </c>
      <c r="X284" s="28">
        <v>1.0699999999999999E-2</v>
      </c>
      <c r="Y284" s="28">
        <v>0.02</v>
      </c>
      <c r="Z284" s="28">
        <v>2.8400000000000002E-2</v>
      </c>
      <c r="AA284" s="28">
        <v>3.5799999999999998E-2</v>
      </c>
      <c r="AB284" s="28">
        <v>4.24E-2</v>
      </c>
      <c r="AC284" s="28">
        <v>4.8300000000000003E-2</v>
      </c>
      <c r="AD284" s="28">
        <v>5.3699999999999998E-2</v>
      </c>
      <c r="AE284" s="28">
        <v>5.8500000000000003E-2</v>
      </c>
      <c r="AF284" s="28">
        <v>6.2899999999999998E-2</v>
      </c>
      <c r="AG284" s="28">
        <v>6.6900000000000001E-2</v>
      </c>
      <c r="AH284" s="28">
        <v>7.0599999999999996E-2</v>
      </c>
      <c r="AI284" s="28">
        <v>7.3899999999999993E-2</v>
      </c>
      <c r="AJ284" s="28">
        <v>7.6999999999999999E-2</v>
      </c>
      <c r="AK284" s="28">
        <v>7.9799999999999996E-2</v>
      </c>
      <c r="AL284" s="28">
        <v>8.2400000000000001E-2</v>
      </c>
      <c r="AM284" s="28">
        <v>8.48E-2</v>
      </c>
      <c r="AN284" s="28">
        <v>8.6999999999999994E-2</v>
      </c>
      <c r="AO284" s="28">
        <v>8.9099999999999999E-2</v>
      </c>
      <c r="AP284" s="28">
        <v>9.0899999999999995E-2</v>
      </c>
      <c r="AQ284" s="28">
        <v>9.2700000000000005E-2</v>
      </c>
      <c r="AR284" s="28">
        <v>9.4299999999999995E-2</v>
      </c>
      <c r="AS284" s="28">
        <v>9.5899999999999999E-2</v>
      </c>
      <c r="AT284" s="28">
        <v>9.7199999999999995E-2</v>
      </c>
      <c r="AU284" s="28">
        <v>9.8599999999999993E-2</v>
      </c>
      <c r="AV284" s="28">
        <v>9.98E-2</v>
      </c>
      <c r="AW284" s="28">
        <v>0.10100000000000001</v>
      </c>
      <c r="AX284" s="28">
        <v>0.10199999999999999</v>
      </c>
    </row>
    <row r="285" spans="1:50">
      <c r="A285" s="28">
        <v>13</v>
      </c>
      <c r="Y285" s="28">
        <v>0</v>
      </c>
      <c r="Z285" s="28">
        <v>9.4000000000000004E-3</v>
      </c>
      <c r="AA285" s="28">
        <v>1.78E-2</v>
      </c>
      <c r="AB285" s="28">
        <v>2.53E-2</v>
      </c>
      <c r="AC285" s="28">
        <v>3.2000000000000001E-2</v>
      </c>
      <c r="AD285" s="28">
        <v>3.8100000000000002E-2</v>
      </c>
      <c r="AE285" s="28">
        <v>4.3499999999999997E-2</v>
      </c>
      <c r="AF285" s="28">
        <v>4.8500000000000001E-2</v>
      </c>
      <c r="AG285" s="28">
        <v>5.2999999999999999E-2</v>
      </c>
      <c r="AH285" s="28">
        <v>5.7200000000000001E-2</v>
      </c>
      <c r="AI285" s="28">
        <v>6.0999999999999999E-2</v>
      </c>
      <c r="AJ285" s="28">
        <v>6.4500000000000002E-2</v>
      </c>
      <c r="AK285" s="28">
        <v>6.7699999999999996E-2</v>
      </c>
      <c r="AL285" s="28">
        <v>7.0599999999999996E-2</v>
      </c>
      <c r="AM285" s="28">
        <v>7.3300000000000004E-2</v>
      </c>
      <c r="AN285" s="28">
        <v>7.5899999999999995E-2</v>
      </c>
      <c r="AO285" s="28">
        <v>7.8200000000000006E-2</v>
      </c>
      <c r="AP285" s="28">
        <v>8.0399999999999999E-2</v>
      </c>
      <c r="AQ285" s="28">
        <v>8.2400000000000001E-2</v>
      </c>
      <c r="AR285" s="28">
        <v>8.4199999999999997E-2</v>
      </c>
      <c r="AS285" s="28">
        <v>8.5999999999999993E-2</v>
      </c>
      <c r="AT285" s="28">
        <v>8.7599999999999997E-2</v>
      </c>
      <c r="AU285" s="28">
        <v>8.9200000000000002E-2</v>
      </c>
      <c r="AV285" s="28">
        <v>9.06E-2</v>
      </c>
      <c r="AW285" s="28">
        <v>9.1899999999999996E-2</v>
      </c>
      <c r="AX285" s="28">
        <v>9.3200000000000005E-2</v>
      </c>
    </row>
    <row r="286" spans="1:50">
      <c r="A286" s="28">
        <v>14</v>
      </c>
      <c r="AA286" s="28">
        <v>0</v>
      </c>
      <c r="AB286" s="28">
        <v>8.3999999999999995E-3</v>
      </c>
      <c r="AC286" s="28">
        <v>1.5900000000000001E-2</v>
      </c>
      <c r="AD286" s="28">
        <v>2.2700000000000001E-2</v>
      </c>
      <c r="AE286" s="28">
        <v>2.8899999999999999E-2</v>
      </c>
      <c r="AF286" s="28">
        <v>3.44E-2</v>
      </c>
      <c r="AG286" s="28">
        <v>3.95E-2</v>
      </c>
      <c r="AH286" s="28">
        <v>4.41E-2</v>
      </c>
      <c r="AI286" s="28">
        <v>4.8399999999999999E-2</v>
      </c>
      <c r="AJ286" s="28">
        <v>5.2299999999999999E-2</v>
      </c>
      <c r="AK286" s="28">
        <v>5.5899999999999998E-2</v>
      </c>
      <c r="AL286" s="28">
        <v>5.9200000000000003E-2</v>
      </c>
      <c r="AM286" s="28">
        <v>6.2199999999999998E-2</v>
      </c>
      <c r="AN286" s="28">
        <v>6.5100000000000005E-2</v>
      </c>
      <c r="AO286" s="28">
        <v>6.7699999999999996E-2</v>
      </c>
      <c r="AP286" s="28">
        <v>7.0099999999999996E-2</v>
      </c>
      <c r="AQ286" s="28">
        <v>7.2400000000000006E-2</v>
      </c>
      <c r="AR286" s="28">
        <v>7.4499999999999997E-2</v>
      </c>
      <c r="AS286" s="28">
        <v>7.6499999999999999E-2</v>
      </c>
      <c r="AT286" s="28">
        <v>7.8299999999999995E-2</v>
      </c>
      <c r="AU286" s="28">
        <v>8.0100000000000005E-2</v>
      </c>
      <c r="AV286" s="28">
        <v>8.1699999999999995E-2</v>
      </c>
      <c r="AW286" s="28">
        <v>8.3199999999999996E-2</v>
      </c>
      <c r="AX286" s="28">
        <v>8.4599999999999995E-2</v>
      </c>
    </row>
    <row r="287" spans="1:50">
      <c r="A287" s="28">
        <v>15</v>
      </c>
      <c r="AC287" s="28">
        <v>0</v>
      </c>
      <c r="AD287" s="28">
        <v>7.6E-3</v>
      </c>
      <c r="AE287" s="28">
        <v>1.44E-2</v>
      </c>
      <c r="AF287" s="28">
        <v>2.06E-2</v>
      </c>
      <c r="AG287" s="28">
        <v>2.6200000000000001E-2</v>
      </c>
      <c r="AH287" s="28">
        <v>3.1399999999999997E-2</v>
      </c>
      <c r="AI287" s="28">
        <v>3.61E-2</v>
      </c>
      <c r="AJ287" s="28">
        <v>4.0399999999999998E-2</v>
      </c>
      <c r="AK287" s="28">
        <v>4.4400000000000002E-2</v>
      </c>
      <c r="AL287" s="28">
        <v>4.8099999999999997E-2</v>
      </c>
      <c r="AM287" s="28">
        <v>5.1499999999999997E-2</v>
      </c>
      <c r="AN287" s="28">
        <v>5.4600000000000003E-2</v>
      </c>
      <c r="AO287" s="28">
        <v>5.7500000000000002E-2</v>
      </c>
      <c r="AP287" s="28">
        <v>6.0199999999999997E-2</v>
      </c>
      <c r="AQ287" s="28">
        <v>6.2799999999999995E-2</v>
      </c>
      <c r="AR287" s="28">
        <v>6.5100000000000005E-2</v>
      </c>
      <c r="AS287" s="28">
        <v>6.7299999999999999E-2</v>
      </c>
      <c r="AT287" s="28">
        <v>6.9400000000000003E-2</v>
      </c>
      <c r="AU287" s="28">
        <v>7.1300000000000002E-2</v>
      </c>
      <c r="AV287" s="28">
        <v>7.3099999999999998E-2</v>
      </c>
      <c r="AW287" s="28">
        <v>7.4800000000000005E-2</v>
      </c>
      <c r="AX287" s="28">
        <v>7.6399999999999996E-2</v>
      </c>
    </row>
    <row r="288" spans="1:50">
      <c r="A288" s="28">
        <v>16</v>
      </c>
      <c r="AE288" s="28">
        <v>0</v>
      </c>
      <c r="AF288" s="28">
        <v>6.7999999999999996E-3</v>
      </c>
      <c r="AG288" s="28">
        <v>1.3100000000000001E-2</v>
      </c>
      <c r="AH288" s="28">
        <v>1.8700000000000001E-2</v>
      </c>
      <c r="AI288" s="28">
        <v>2.3900000000000001E-2</v>
      </c>
      <c r="AJ288" s="28">
        <v>2.87E-2</v>
      </c>
      <c r="AK288" s="28">
        <v>3.3099999999999997E-2</v>
      </c>
      <c r="AL288" s="28">
        <v>3.7199999999999997E-2</v>
      </c>
      <c r="AM288" s="28">
        <v>4.0899999999999999E-2</v>
      </c>
      <c r="AN288" s="28">
        <v>4.4400000000000002E-2</v>
      </c>
      <c r="AO288" s="28">
        <v>4.7600000000000003E-2</v>
      </c>
      <c r="AP288" s="28">
        <v>5.0599999999999999E-2</v>
      </c>
      <c r="AQ288" s="28">
        <v>5.3400000000000003E-2</v>
      </c>
      <c r="AR288" s="28">
        <v>5.6000000000000001E-2</v>
      </c>
      <c r="AS288" s="28">
        <v>5.8400000000000001E-2</v>
      </c>
      <c r="AT288" s="28">
        <v>6.0699999999999997E-2</v>
      </c>
      <c r="AU288" s="28">
        <v>6.2799999999999995E-2</v>
      </c>
      <c r="AV288" s="28">
        <v>6.4799999999999996E-2</v>
      </c>
      <c r="AW288" s="28">
        <v>6.6699999999999995E-2</v>
      </c>
      <c r="AX288" s="28">
        <v>6.8500000000000005E-2</v>
      </c>
    </row>
    <row r="289" spans="1:50">
      <c r="A289" s="28">
        <v>17</v>
      </c>
      <c r="AG289" s="28">
        <v>0</v>
      </c>
      <c r="AH289" s="28">
        <v>6.1999999999999998E-3</v>
      </c>
      <c r="AI289" s="28">
        <v>1.1900000000000001E-2</v>
      </c>
      <c r="AJ289" s="28">
        <v>1.72E-2</v>
      </c>
      <c r="AK289" s="28">
        <v>2.1999999999999999E-2</v>
      </c>
      <c r="AL289" s="28">
        <v>2.64E-2</v>
      </c>
      <c r="AM289" s="28">
        <v>3.0499999999999999E-2</v>
      </c>
      <c r="AN289" s="28">
        <v>3.4299999999999997E-2</v>
      </c>
      <c r="AO289" s="28">
        <v>3.7900000000000003E-2</v>
      </c>
      <c r="AP289" s="28">
        <v>4.1099999999999998E-2</v>
      </c>
      <c r="AQ289" s="28">
        <v>4.4200000000000003E-2</v>
      </c>
      <c r="AR289" s="28">
        <v>4.7100000000000003E-2</v>
      </c>
      <c r="AS289" s="28">
        <v>4.9700000000000001E-2</v>
      </c>
      <c r="AT289" s="28">
        <v>5.2200000000000003E-2</v>
      </c>
      <c r="AU289" s="28">
        <v>5.4600000000000003E-2</v>
      </c>
      <c r="AV289" s="28">
        <v>5.6800000000000003E-2</v>
      </c>
      <c r="AW289" s="28">
        <v>5.8799999999999998E-2</v>
      </c>
      <c r="AX289" s="28">
        <v>6.08E-2</v>
      </c>
    </row>
    <row r="290" spans="1:50">
      <c r="A290" s="28">
        <v>18</v>
      </c>
      <c r="AI290" s="28">
        <v>0</v>
      </c>
      <c r="AJ290" s="28">
        <v>5.7000000000000002E-3</v>
      </c>
      <c r="AK290" s="28">
        <v>1.0999999999999999E-2</v>
      </c>
      <c r="AL290" s="28">
        <v>1.5800000000000002E-2</v>
      </c>
      <c r="AM290" s="28">
        <v>2.0299999999999999E-2</v>
      </c>
      <c r="AN290" s="28">
        <v>2.4400000000000002E-2</v>
      </c>
      <c r="AO290" s="28">
        <v>2.8299999999999999E-2</v>
      </c>
      <c r="AP290" s="28">
        <v>3.1800000000000002E-2</v>
      </c>
      <c r="AQ290" s="28">
        <v>3.5200000000000002E-2</v>
      </c>
      <c r="AR290" s="28">
        <v>3.8300000000000001E-2</v>
      </c>
      <c r="AS290" s="28">
        <v>4.1200000000000001E-2</v>
      </c>
      <c r="AT290" s="28">
        <v>4.3900000000000002E-2</v>
      </c>
      <c r="AU290" s="28">
        <v>4.65E-2</v>
      </c>
      <c r="AV290" s="28">
        <v>4.8899999999999999E-2</v>
      </c>
      <c r="AW290" s="28">
        <v>5.11E-2</v>
      </c>
      <c r="AX290" s="28">
        <v>5.3199999999999997E-2</v>
      </c>
    </row>
    <row r="291" spans="1:50">
      <c r="A291" s="28">
        <v>19</v>
      </c>
      <c r="AK291" s="28">
        <v>0</v>
      </c>
      <c r="AL291" s="28">
        <v>5.3E-3</v>
      </c>
      <c r="AM291" s="28">
        <v>1.01E-2</v>
      </c>
      <c r="AN291" s="28">
        <v>1.46E-2</v>
      </c>
      <c r="AO291" s="28">
        <v>1.8800000000000001E-2</v>
      </c>
      <c r="AP291" s="28">
        <v>2.2700000000000001E-2</v>
      </c>
      <c r="AQ291" s="28">
        <v>2.63E-2</v>
      </c>
      <c r="AR291" s="28">
        <v>2.9600000000000001E-2</v>
      </c>
      <c r="AS291" s="28">
        <v>3.2800000000000003E-2</v>
      </c>
      <c r="AT291" s="28">
        <v>3.5700000000000003E-2</v>
      </c>
      <c r="AU291" s="28">
        <v>3.85E-2</v>
      </c>
      <c r="AV291" s="28">
        <v>4.1099999999999998E-2</v>
      </c>
      <c r="AW291" s="28">
        <v>4.36E-2</v>
      </c>
      <c r="AX291" s="28">
        <v>4.5900000000000003E-2</v>
      </c>
    </row>
    <row r="292" spans="1:50">
      <c r="A292" s="28">
        <v>20</v>
      </c>
      <c r="AM292" s="28">
        <v>0</v>
      </c>
      <c r="AN292" s="28">
        <v>4.8999999999999998E-3</v>
      </c>
      <c r="AO292" s="28">
        <v>9.4000000000000004E-3</v>
      </c>
      <c r="AP292" s="28">
        <v>1.3599999999999999E-2</v>
      </c>
      <c r="AQ292" s="28">
        <v>1.7500000000000002E-2</v>
      </c>
      <c r="AR292" s="28">
        <v>2.1100000000000001E-2</v>
      </c>
      <c r="AS292" s="28">
        <v>2.4500000000000001E-2</v>
      </c>
      <c r="AT292" s="28">
        <v>2.7699999999999999E-2</v>
      </c>
      <c r="AU292" s="28">
        <v>3.0700000000000002E-2</v>
      </c>
      <c r="AV292" s="28">
        <v>3.3500000000000002E-2</v>
      </c>
      <c r="AW292" s="28">
        <v>3.61E-2</v>
      </c>
      <c r="AX292" s="28">
        <v>3.8600000000000002E-2</v>
      </c>
    </row>
    <row r="293" spans="1:50">
      <c r="A293" s="28">
        <v>21</v>
      </c>
      <c r="AO293" s="28">
        <v>0</v>
      </c>
      <c r="AP293" s="28">
        <v>4.4999999999999997E-3</v>
      </c>
      <c r="AQ293" s="28">
        <v>8.6999999999999994E-3</v>
      </c>
      <c r="AR293" s="28">
        <v>1.26E-2</v>
      </c>
      <c r="AS293" s="28">
        <v>1.6299999999999999E-2</v>
      </c>
      <c r="AT293" s="28">
        <v>1.9699999999999999E-2</v>
      </c>
      <c r="AU293" s="28">
        <v>2.29E-2</v>
      </c>
      <c r="AV293" s="28">
        <v>2.5899999999999999E-2</v>
      </c>
      <c r="AW293" s="28">
        <v>2.8799999999999999E-2</v>
      </c>
      <c r="AX293" s="28">
        <v>3.1399999999999997E-2</v>
      </c>
    </row>
    <row r="294" spans="1:50">
      <c r="A294" s="28">
        <v>22</v>
      </c>
      <c r="AQ294" s="28">
        <v>0</v>
      </c>
      <c r="AR294" s="28">
        <v>4.1999999999999997E-3</v>
      </c>
      <c r="AS294" s="28">
        <v>8.0999999999999996E-3</v>
      </c>
      <c r="AT294" s="28">
        <v>1.18E-2</v>
      </c>
      <c r="AU294" s="28">
        <v>1.5299999999999999E-2</v>
      </c>
      <c r="AV294" s="28">
        <v>1.8499999999999999E-2</v>
      </c>
      <c r="AW294" s="28">
        <v>2.1499999999999998E-2</v>
      </c>
      <c r="AX294" s="28">
        <v>2.4400000000000002E-2</v>
      </c>
    </row>
    <row r="295" spans="1:50">
      <c r="A295" s="28">
        <v>23</v>
      </c>
      <c r="AS295" s="28">
        <v>0</v>
      </c>
      <c r="AT295" s="28">
        <v>3.8999999999999998E-3</v>
      </c>
      <c r="AU295" s="28">
        <v>7.6E-3</v>
      </c>
      <c r="AV295" s="28">
        <v>1.11E-2</v>
      </c>
      <c r="AW295" s="28">
        <v>1.43E-2</v>
      </c>
      <c r="AX295" s="28">
        <v>1.7399999999999999E-2</v>
      </c>
    </row>
    <row r="296" spans="1:50">
      <c r="A296" s="28">
        <v>24</v>
      </c>
      <c r="AU296" s="28">
        <v>0</v>
      </c>
      <c r="AV296" s="28">
        <v>3.7000000000000002E-3</v>
      </c>
      <c r="AW296" s="28">
        <v>7.1000000000000004E-3</v>
      </c>
      <c r="AX296" s="28">
        <v>1.04E-2</v>
      </c>
    </row>
    <row r="297" spans="1:50">
      <c r="A297" s="28">
        <v>25</v>
      </c>
      <c r="AW297" s="28">
        <v>0</v>
      </c>
      <c r="AX297" s="28">
        <v>3.5000000000000001E-3</v>
      </c>
    </row>
    <row r="300" spans="1:50">
      <c r="A300" s="28" t="s">
        <v>227</v>
      </c>
    </row>
    <row r="301" spans="1:50">
      <c r="A301" s="28" t="s">
        <v>127</v>
      </c>
      <c r="B301" s="28" t="s">
        <v>228</v>
      </c>
    </row>
    <row r="302" spans="1:50">
      <c r="B302" s="28">
        <v>0.01</v>
      </c>
      <c r="C302" s="28">
        <v>0.02</v>
      </c>
      <c r="D302" s="28">
        <v>0.05</v>
      </c>
      <c r="E302" s="28">
        <v>0.1</v>
      </c>
      <c r="F302" s="28">
        <v>0.5</v>
      </c>
    </row>
    <row r="303" spans="1:50">
      <c r="C303" s="28"/>
      <c r="D303" s="28"/>
      <c r="E303" s="28"/>
      <c r="F303" s="28"/>
    </row>
    <row r="304" spans="1:50">
      <c r="A304" s="28">
        <v>3</v>
      </c>
      <c r="B304" s="28">
        <v>0.753</v>
      </c>
      <c r="C304" s="28">
        <v>0.75600000000000001</v>
      </c>
      <c r="D304" s="28">
        <v>0.76700000000000002</v>
      </c>
      <c r="E304" s="28">
        <v>0.78900000000000003</v>
      </c>
      <c r="F304" s="28">
        <v>0.95899999999999996</v>
      </c>
    </row>
    <row r="305" spans="1:6">
      <c r="A305" s="28">
        <v>4</v>
      </c>
      <c r="B305" s="28">
        <v>0.68700000000000006</v>
      </c>
      <c r="C305" s="28">
        <v>0.70699999999999996</v>
      </c>
      <c r="D305" s="28">
        <v>0.748</v>
      </c>
      <c r="E305" s="28">
        <v>0.79200000000000004</v>
      </c>
      <c r="F305" s="28">
        <v>0.93500000000000005</v>
      </c>
    </row>
    <row r="306" spans="1:6">
      <c r="A306" s="28">
        <v>5</v>
      </c>
      <c r="B306" s="28">
        <v>0.68600000000000005</v>
      </c>
      <c r="C306" s="28">
        <v>0.71499999999999997</v>
      </c>
      <c r="D306" s="28">
        <v>0.76200000000000001</v>
      </c>
      <c r="E306" s="28">
        <v>0.80600000000000005</v>
      </c>
      <c r="F306" s="28">
        <v>0.92700000000000005</v>
      </c>
    </row>
    <row r="307" spans="1:6">
      <c r="A307" s="28">
        <v>6</v>
      </c>
      <c r="B307" s="28">
        <v>0.71299999999999997</v>
      </c>
      <c r="C307" s="28">
        <v>0.74299999999999999</v>
      </c>
      <c r="D307" s="28">
        <v>0.78800000000000003</v>
      </c>
      <c r="E307" s="28">
        <v>0.82599999999999996</v>
      </c>
      <c r="F307" s="28">
        <v>0.92700000000000005</v>
      </c>
    </row>
    <row r="308" spans="1:6">
      <c r="A308" s="28">
        <v>7</v>
      </c>
      <c r="B308" s="28">
        <v>0.73</v>
      </c>
      <c r="C308" s="28">
        <v>0.76</v>
      </c>
      <c r="D308" s="28">
        <v>0.80300000000000005</v>
      </c>
      <c r="E308" s="28">
        <v>0.83799999999999997</v>
      </c>
      <c r="F308" s="28">
        <v>0.92800000000000005</v>
      </c>
    </row>
    <row r="309" spans="1:6">
      <c r="A309" s="28">
        <v>8</v>
      </c>
      <c r="B309" s="28">
        <v>0.749</v>
      </c>
      <c r="C309" s="28">
        <v>0.77800000000000002</v>
      </c>
      <c r="D309" s="28">
        <v>0.81799999999999995</v>
      </c>
      <c r="E309" s="28">
        <v>0.85099999999999998</v>
      </c>
      <c r="F309" s="28">
        <v>0.93200000000000005</v>
      </c>
    </row>
    <row r="310" spans="1:6">
      <c r="A310" s="28">
        <v>9</v>
      </c>
      <c r="B310" s="28">
        <v>0.76400000000000001</v>
      </c>
      <c r="C310" s="28">
        <v>0.79100000000000004</v>
      </c>
      <c r="D310" s="28">
        <v>0.82899999999999996</v>
      </c>
      <c r="E310" s="28">
        <v>0.85899999999999999</v>
      </c>
      <c r="F310" s="28">
        <v>0.93500000000000005</v>
      </c>
    </row>
    <row r="311" spans="1:6">
      <c r="A311" s="28">
        <v>10</v>
      </c>
      <c r="B311" s="28">
        <v>0.78100000000000003</v>
      </c>
      <c r="C311" s="28">
        <v>0.80600000000000005</v>
      </c>
      <c r="D311" s="28">
        <v>0.84199999999999997</v>
      </c>
      <c r="E311" s="28">
        <v>0.86899999999999999</v>
      </c>
      <c r="F311" s="28">
        <v>0.93799999999999994</v>
      </c>
    </row>
    <row r="312" spans="1:6">
      <c r="A312" s="28">
        <v>11</v>
      </c>
      <c r="B312" s="28">
        <v>0.79200000000000004</v>
      </c>
      <c r="C312" s="28">
        <v>0.81699999999999995</v>
      </c>
      <c r="D312" s="28">
        <v>0.85</v>
      </c>
      <c r="E312" s="28">
        <v>0.876</v>
      </c>
      <c r="F312" s="28">
        <v>0.94</v>
      </c>
    </row>
    <row r="313" spans="1:6">
      <c r="A313" s="28">
        <v>12</v>
      </c>
      <c r="B313" s="28">
        <v>0.80500000000000005</v>
      </c>
      <c r="C313" s="28">
        <v>0.82799999999999996</v>
      </c>
      <c r="D313" s="28">
        <v>0.85899999999999999</v>
      </c>
      <c r="E313" s="28">
        <v>0.88300000000000001</v>
      </c>
      <c r="F313" s="28">
        <v>0.94299999999999995</v>
      </c>
    </row>
    <row r="314" spans="1:6">
      <c r="A314" s="28">
        <v>13</v>
      </c>
      <c r="B314" s="28">
        <v>0.81399999999999995</v>
      </c>
      <c r="C314" s="28">
        <v>0.83699999999999997</v>
      </c>
      <c r="D314" s="28">
        <v>0.86599999999999999</v>
      </c>
      <c r="E314" s="28">
        <v>0.88900000000000001</v>
      </c>
      <c r="F314" s="28">
        <v>0.94499999999999995</v>
      </c>
    </row>
    <row r="315" spans="1:6">
      <c r="A315" s="28">
        <v>14</v>
      </c>
      <c r="B315" s="28">
        <v>0.82499999999999996</v>
      </c>
      <c r="C315" s="28">
        <v>0.84599999999999997</v>
      </c>
      <c r="D315" s="28">
        <v>0.874</v>
      </c>
      <c r="E315" s="28">
        <v>0.89500000000000002</v>
      </c>
      <c r="F315" s="28">
        <v>0.94699999999999995</v>
      </c>
    </row>
    <row r="316" spans="1:6">
      <c r="A316" s="28">
        <v>15</v>
      </c>
      <c r="B316" s="28">
        <v>0.83499999999999996</v>
      </c>
      <c r="C316" s="28">
        <v>0.85499999999999998</v>
      </c>
      <c r="D316" s="28">
        <v>0.88100000000000001</v>
      </c>
      <c r="E316" s="28">
        <v>0.90100000000000002</v>
      </c>
      <c r="F316" s="28">
        <v>0.95</v>
      </c>
    </row>
    <row r="317" spans="1:6">
      <c r="A317" s="28">
        <v>16</v>
      </c>
      <c r="B317" s="28">
        <v>0.84399999999999997</v>
      </c>
      <c r="C317" s="28">
        <v>0.86299999999999999</v>
      </c>
      <c r="D317" s="28">
        <v>0.88700000000000001</v>
      </c>
      <c r="E317" s="28">
        <v>0.90600000000000003</v>
      </c>
      <c r="F317" s="28">
        <v>0.95199999999999996</v>
      </c>
    </row>
    <row r="318" spans="1:6">
      <c r="A318" s="28">
        <v>17</v>
      </c>
      <c r="B318" s="28">
        <v>0.85099999999999998</v>
      </c>
      <c r="C318" s="28">
        <v>0.86899999999999999</v>
      </c>
      <c r="D318" s="28">
        <v>0.89200000000000002</v>
      </c>
      <c r="E318" s="28">
        <v>0.91</v>
      </c>
      <c r="F318" s="28">
        <v>0.95399999999999996</v>
      </c>
    </row>
    <row r="319" spans="1:6">
      <c r="A319" s="28">
        <v>18</v>
      </c>
      <c r="B319" s="28">
        <v>0.85799999999999998</v>
      </c>
      <c r="C319" s="28">
        <v>0.874</v>
      </c>
      <c r="D319" s="28">
        <v>0.89700000000000002</v>
      </c>
      <c r="E319" s="28">
        <v>0.91400000000000003</v>
      </c>
      <c r="F319" s="28">
        <v>0.95599999999999996</v>
      </c>
    </row>
    <row r="320" spans="1:6">
      <c r="A320" s="28">
        <v>19</v>
      </c>
      <c r="B320" s="28">
        <v>0.86299999999999999</v>
      </c>
      <c r="C320" s="28">
        <v>0.879</v>
      </c>
      <c r="D320" s="28">
        <v>0.90100000000000002</v>
      </c>
      <c r="E320" s="28">
        <v>0.91700000000000004</v>
      </c>
      <c r="F320" s="28">
        <v>0.95699999999999996</v>
      </c>
    </row>
    <row r="321" spans="1:6">
      <c r="A321" s="28">
        <v>20</v>
      </c>
      <c r="B321" s="28">
        <v>0.86799999999999999</v>
      </c>
      <c r="C321" s="28">
        <v>0.88400000000000001</v>
      </c>
      <c r="D321" s="28">
        <v>0.90500000000000003</v>
      </c>
      <c r="E321" s="28">
        <v>0.92</v>
      </c>
      <c r="F321" s="28">
        <v>0.95899999999999996</v>
      </c>
    </row>
    <row r="322" spans="1:6">
      <c r="A322" s="28">
        <v>21</v>
      </c>
      <c r="B322" s="28">
        <v>0.873</v>
      </c>
      <c r="C322" s="28">
        <v>0.88800000000000001</v>
      </c>
      <c r="D322" s="28">
        <v>0.90800000000000003</v>
      </c>
      <c r="E322" s="28">
        <v>0.92300000000000004</v>
      </c>
      <c r="F322" s="28">
        <v>0.96</v>
      </c>
    </row>
    <row r="323" spans="1:6">
      <c r="A323" s="28">
        <v>22</v>
      </c>
      <c r="B323" s="28">
        <v>0.878</v>
      </c>
      <c r="C323" s="28">
        <v>0.89200000000000002</v>
      </c>
      <c r="D323" s="28">
        <v>0.91100000000000003</v>
      </c>
      <c r="E323" s="28">
        <v>0.92600000000000005</v>
      </c>
      <c r="F323" s="28">
        <v>0.96099999999999997</v>
      </c>
    </row>
    <row r="324" spans="1:6">
      <c r="A324" s="28">
        <v>23</v>
      </c>
      <c r="B324" s="28">
        <v>0.88100000000000001</v>
      </c>
      <c r="C324" s="28">
        <v>0.89500000000000002</v>
      </c>
      <c r="D324" s="28">
        <v>0.91400000000000003</v>
      </c>
      <c r="E324" s="28">
        <v>0.92800000000000005</v>
      </c>
      <c r="F324" s="28">
        <v>0.96199999999999997</v>
      </c>
    </row>
    <row r="325" spans="1:6">
      <c r="A325" s="28">
        <v>24</v>
      </c>
      <c r="B325" s="28">
        <v>0.88400000000000001</v>
      </c>
      <c r="C325" s="28">
        <v>0.89800000000000002</v>
      </c>
      <c r="D325" s="28">
        <v>0.91600000000000004</v>
      </c>
      <c r="E325" s="28">
        <v>0.93</v>
      </c>
      <c r="F325" s="28">
        <v>0.96299999999999997</v>
      </c>
    </row>
    <row r="326" spans="1:6">
      <c r="A326" s="28">
        <v>25</v>
      </c>
      <c r="B326" s="28">
        <v>0.88600000000000001</v>
      </c>
      <c r="C326" s="28">
        <v>0.90100000000000002</v>
      </c>
      <c r="D326" s="28">
        <v>0.91800000000000004</v>
      </c>
      <c r="E326" s="28">
        <v>0.93100000000000005</v>
      </c>
      <c r="F326" s="28">
        <v>0.96399999999999997</v>
      </c>
    </row>
    <row r="327" spans="1:6">
      <c r="A327" s="28">
        <v>26</v>
      </c>
      <c r="B327" s="28">
        <v>0.89100000000000001</v>
      </c>
      <c r="C327" s="28">
        <v>0.90400000000000003</v>
      </c>
      <c r="D327" s="28">
        <v>0.92</v>
      </c>
      <c r="E327" s="28">
        <v>0.93300000000000005</v>
      </c>
      <c r="F327" s="28">
        <v>0.96499999999999997</v>
      </c>
    </row>
    <row r="328" spans="1:6">
      <c r="A328" s="28">
        <v>27</v>
      </c>
      <c r="B328" s="28">
        <v>0.89400000000000002</v>
      </c>
      <c r="C328" s="28">
        <v>0.90600000000000003</v>
      </c>
      <c r="D328" s="28">
        <v>0.92300000000000004</v>
      </c>
      <c r="E328" s="28">
        <v>0.93500000000000005</v>
      </c>
      <c r="F328" s="28">
        <v>0.96499999999999997</v>
      </c>
    </row>
    <row r="329" spans="1:6">
      <c r="A329" s="28">
        <v>28</v>
      </c>
      <c r="B329" s="28">
        <v>0.89600000000000002</v>
      </c>
      <c r="C329" s="28">
        <v>0.90800000000000003</v>
      </c>
      <c r="D329" s="28">
        <v>0.92400000000000004</v>
      </c>
      <c r="E329" s="28">
        <v>0.93600000000000005</v>
      </c>
      <c r="F329" s="28">
        <v>0.96599999999999997</v>
      </c>
    </row>
    <row r="330" spans="1:6">
      <c r="A330" s="28">
        <v>29</v>
      </c>
      <c r="B330" s="28">
        <v>0.89800000000000002</v>
      </c>
      <c r="C330" s="28">
        <v>0.91</v>
      </c>
      <c r="D330" s="28">
        <v>0.92600000000000005</v>
      </c>
      <c r="E330" s="28">
        <v>0.93700000000000006</v>
      </c>
      <c r="F330" s="28">
        <v>0.96599999999999997</v>
      </c>
    </row>
    <row r="331" spans="1:6">
      <c r="A331" s="28">
        <v>30</v>
      </c>
      <c r="B331" s="28">
        <v>0.9</v>
      </c>
      <c r="C331" s="28">
        <v>0.91200000000000003</v>
      </c>
      <c r="D331" s="28">
        <v>0.92700000000000005</v>
      </c>
      <c r="E331" s="28">
        <v>0.93899999999999995</v>
      </c>
      <c r="F331" s="28">
        <v>0.96699999999999997</v>
      </c>
    </row>
    <row r="332" spans="1:6">
      <c r="A332" s="28">
        <v>31</v>
      </c>
      <c r="B332" s="28">
        <v>0.90200000000000002</v>
      </c>
      <c r="C332" s="28">
        <v>0.91400000000000003</v>
      </c>
      <c r="D332" s="28">
        <v>0.92900000000000005</v>
      </c>
      <c r="E332" s="28">
        <v>0.94</v>
      </c>
      <c r="F332" s="28">
        <v>0.96699999999999997</v>
      </c>
    </row>
    <row r="333" spans="1:6">
      <c r="A333" s="28">
        <v>32</v>
      </c>
      <c r="B333" s="28">
        <v>0.90400000000000003</v>
      </c>
      <c r="C333" s="28">
        <v>0.91500000000000004</v>
      </c>
      <c r="D333" s="28">
        <v>0.93</v>
      </c>
      <c r="E333" s="28">
        <v>0.94099999999999995</v>
      </c>
      <c r="F333" s="28">
        <v>0.96799999999999997</v>
      </c>
    </row>
    <row r="334" spans="1:6">
      <c r="A334" s="28">
        <v>33</v>
      </c>
      <c r="B334" s="28">
        <v>0.90600000000000003</v>
      </c>
      <c r="C334" s="28">
        <v>0.91700000000000004</v>
      </c>
      <c r="D334" s="28">
        <v>0.93100000000000005</v>
      </c>
      <c r="E334" s="28">
        <v>0.94199999999999995</v>
      </c>
      <c r="F334" s="28">
        <v>0.96799999999999997</v>
      </c>
    </row>
    <row r="335" spans="1:6">
      <c r="A335" s="28">
        <v>34</v>
      </c>
      <c r="B335" s="28">
        <v>0.90800000000000003</v>
      </c>
      <c r="C335" s="28">
        <v>0.91900000000000004</v>
      </c>
      <c r="D335" s="28">
        <v>0.93300000000000005</v>
      </c>
      <c r="E335" s="28">
        <v>0.94299999999999995</v>
      </c>
      <c r="F335" s="28">
        <v>0.96899999999999997</v>
      </c>
    </row>
    <row r="336" spans="1:6">
      <c r="A336" s="28">
        <v>35</v>
      </c>
      <c r="B336" s="28">
        <v>0.91</v>
      </c>
      <c r="C336" s="28">
        <v>0.92</v>
      </c>
      <c r="D336" s="28">
        <v>0.93400000000000005</v>
      </c>
      <c r="E336" s="28">
        <v>0.94399999999999995</v>
      </c>
      <c r="F336" s="28">
        <v>0.96899999999999997</v>
      </c>
    </row>
    <row r="337" spans="1:6">
      <c r="A337" s="28">
        <v>36</v>
      </c>
      <c r="B337" s="28">
        <v>0.91200000000000003</v>
      </c>
      <c r="C337" s="28">
        <v>0.92200000000000004</v>
      </c>
      <c r="D337" s="28">
        <v>0.93500000000000005</v>
      </c>
      <c r="E337" s="28">
        <v>0.94499999999999995</v>
      </c>
      <c r="F337" s="28">
        <v>0.97</v>
      </c>
    </row>
    <row r="338" spans="1:6">
      <c r="A338" s="28">
        <v>37</v>
      </c>
      <c r="B338" s="28">
        <v>0.91400000000000003</v>
      </c>
      <c r="C338" s="28">
        <v>0.92400000000000004</v>
      </c>
      <c r="D338" s="28">
        <v>0.93600000000000005</v>
      </c>
      <c r="E338" s="28">
        <v>0.94599999999999995</v>
      </c>
      <c r="F338" s="28">
        <v>0.97</v>
      </c>
    </row>
    <row r="339" spans="1:6">
      <c r="A339" s="28">
        <v>38</v>
      </c>
      <c r="B339" s="28">
        <v>0.91600000000000004</v>
      </c>
      <c r="C339" s="28">
        <v>0.92500000000000004</v>
      </c>
      <c r="D339" s="28">
        <v>0.93799999999999994</v>
      </c>
      <c r="E339" s="28">
        <v>0.94699999999999995</v>
      </c>
      <c r="F339" s="28">
        <v>0.97099999999999997</v>
      </c>
    </row>
    <row r="340" spans="1:6">
      <c r="A340" s="28">
        <v>39</v>
      </c>
      <c r="B340" s="28">
        <v>0.91700000000000004</v>
      </c>
      <c r="C340" s="28">
        <v>0.92700000000000005</v>
      </c>
      <c r="D340" s="28">
        <v>0.93899999999999995</v>
      </c>
      <c r="E340" s="28">
        <v>0.94799999999999995</v>
      </c>
      <c r="F340" s="28">
        <v>0.97099999999999997</v>
      </c>
    </row>
    <row r="341" spans="1:6">
      <c r="A341" s="28">
        <v>40</v>
      </c>
      <c r="B341" s="28">
        <v>0.91900000000000004</v>
      </c>
      <c r="C341" s="28">
        <v>0.92800000000000005</v>
      </c>
      <c r="D341" s="28">
        <v>0.94</v>
      </c>
      <c r="E341" s="28">
        <v>0.94899999999999995</v>
      </c>
      <c r="F341" s="28">
        <v>0.97199999999999998</v>
      </c>
    </row>
    <row r="342" spans="1:6">
      <c r="A342" s="28">
        <v>41</v>
      </c>
      <c r="B342" s="28">
        <v>0.92</v>
      </c>
      <c r="C342" s="28">
        <v>0.92900000000000005</v>
      </c>
      <c r="D342" s="28">
        <v>0.94099999999999995</v>
      </c>
      <c r="E342" s="28">
        <v>0.95</v>
      </c>
      <c r="F342" s="28">
        <v>0.97199999999999998</v>
      </c>
    </row>
    <row r="343" spans="1:6">
      <c r="A343" s="28">
        <v>42</v>
      </c>
      <c r="B343" s="28">
        <v>0.92200000000000004</v>
      </c>
      <c r="C343" s="28">
        <v>0.93</v>
      </c>
      <c r="D343" s="28">
        <v>0.94199999999999995</v>
      </c>
      <c r="E343" s="28">
        <v>0.95099999999999996</v>
      </c>
      <c r="F343" s="28">
        <v>0.97199999999999998</v>
      </c>
    </row>
    <row r="344" spans="1:6">
      <c r="A344" s="28">
        <v>43</v>
      </c>
      <c r="B344" s="28">
        <v>0.92300000000000004</v>
      </c>
      <c r="C344" s="28">
        <v>0.93200000000000005</v>
      </c>
      <c r="D344" s="28">
        <v>0.94299999999999995</v>
      </c>
      <c r="E344" s="28">
        <v>0.95099999999999996</v>
      </c>
      <c r="F344" s="28">
        <v>0.97299999999999998</v>
      </c>
    </row>
    <row r="345" spans="1:6">
      <c r="A345" s="28">
        <v>44</v>
      </c>
      <c r="B345" s="28">
        <v>0.92400000000000004</v>
      </c>
      <c r="C345" s="28">
        <v>0.93300000000000005</v>
      </c>
      <c r="D345" s="28">
        <v>0.94399999999999995</v>
      </c>
      <c r="E345" s="28">
        <v>0.95199999999999996</v>
      </c>
      <c r="F345" s="28">
        <v>0.97299999999999998</v>
      </c>
    </row>
    <row r="346" spans="1:6">
      <c r="A346" s="28">
        <v>45</v>
      </c>
      <c r="B346" s="28">
        <v>0.92600000000000005</v>
      </c>
      <c r="C346" s="28">
        <v>0.93400000000000005</v>
      </c>
      <c r="D346" s="28">
        <v>0.94499999999999995</v>
      </c>
      <c r="E346" s="28">
        <v>0.95299999999999996</v>
      </c>
      <c r="F346" s="28">
        <v>0.97299999999999998</v>
      </c>
    </row>
    <row r="347" spans="1:6">
      <c r="A347" s="28">
        <v>46</v>
      </c>
      <c r="B347" s="28">
        <v>0.92700000000000005</v>
      </c>
      <c r="C347" s="28">
        <v>0.93500000000000005</v>
      </c>
      <c r="D347" s="28">
        <v>0.94499999999999995</v>
      </c>
      <c r="E347" s="28">
        <v>0.95299999999999996</v>
      </c>
      <c r="F347" s="28">
        <v>0.97399999999999998</v>
      </c>
    </row>
    <row r="348" spans="1:6">
      <c r="A348" s="28">
        <v>47</v>
      </c>
      <c r="B348" s="28">
        <v>0.92800000000000005</v>
      </c>
      <c r="C348" s="28">
        <v>0.93600000000000005</v>
      </c>
      <c r="D348" s="28">
        <v>0.94599999999999995</v>
      </c>
      <c r="E348" s="28">
        <v>0.95399999999999996</v>
      </c>
      <c r="F348" s="28">
        <v>0.97399999999999998</v>
      </c>
    </row>
    <row r="349" spans="1:6">
      <c r="A349" s="28">
        <v>48</v>
      </c>
      <c r="B349" s="28">
        <v>0.92900000000000005</v>
      </c>
      <c r="C349" s="28">
        <v>0.93700000000000006</v>
      </c>
      <c r="D349" s="28">
        <v>0.94699999999999995</v>
      </c>
      <c r="E349" s="28">
        <v>0.95399999999999996</v>
      </c>
      <c r="F349" s="28">
        <v>0.97399999999999998</v>
      </c>
    </row>
    <row r="350" spans="1:6">
      <c r="A350" s="28">
        <v>49</v>
      </c>
      <c r="B350" s="28">
        <v>0.92900000000000005</v>
      </c>
      <c r="C350" s="28">
        <v>0.93700000000000006</v>
      </c>
      <c r="D350" s="28">
        <v>0.94699999999999995</v>
      </c>
      <c r="E350" s="28">
        <v>0.95499999999999996</v>
      </c>
      <c r="F350" s="28">
        <v>0.97399999999999998</v>
      </c>
    </row>
    <row r="351" spans="1:6">
      <c r="A351" s="28">
        <v>50</v>
      </c>
      <c r="B351" s="28">
        <v>0.93</v>
      </c>
      <c r="C351" s="28">
        <v>0.93799999999999994</v>
      </c>
      <c r="D351" s="28">
        <v>0.94699999999999995</v>
      </c>
      <c r="E351" s="28">
        <v>0.95499999999999996</v>
      </c>
      <c r="F351" s="28">
        <v>0.97399999999999998</v>
      </c>
    </row>
    <row r="357" spans="1:8">
      <c r="A357" s="28" t="s">
        <v>229</v>
      </c>
    </row>
    <row r="359" spans="1:8">
      <c r="A359" s="28" t="s">
        <v>230</v>
      </c>
      <c r="B359" s="28" t="e">
        <f>(T13^2)*(T10-1)</f>
        <v>#DIV/0!</v>
      </c>
    </row>
    <row r="360" spans="1:8">
      <c r="A360" s="28" t="s">
        <v>231</v>
      </c>
      <c r="B360" s="28">
        <f>INT(T10/2)</f>
        <v>0</v>
      </c>
      <c r="C360" s="29" t="s">
        <v>232</v>
      </c>
    </row>
    <row r="361" spans="1:8">
      <c r="A361" s="28" t="s">
        <v>233</v>
      </c>
      <c r="B361" s="28" t="e" vm="1">
        <f>(E416^2)/B359</f>
        <v>#VALUE!</v>
      </c>
      <c r="C361" s="29" t="e" vm="2">
        <f>HLOOKUP(0.05,A302:F351,T10)</f>
        <v>#VALUE!</v>
      </c>
      <c r="D361" s="29" t="e" vm="1">
        <f>IF(B361&lt;C361,"No","Yes")</f>
        <v>#VALUE!</v>
      </c>
    </row>
    <row r="362" spans="1:8">
      <c r="A362" s="28" t="s">
        <v>234</v>
      </c>
      <c r="B362" s="28" t="e" vm="1">
        <f>(H416^2)/((T21^2)*(T10-1))</f>
        <v>#VALUE!</v>
      </c>
      <c r="C362" s="29" t="e" vm="1">
        <f>C361</f>
        <v>#VALUE!</v>
      </c>
      <c r="D362" s="29" t="e" vm="1">
        <f>IF(B362&lt;C362,"No","Yes")</f>
        <v>#VALUE!</v>
      </c>
    </row>
    <row r="364" spans="1:8">
      <c r="A364" s="28" t="s">
        <v>187</v>
      </c>
      <c r="B364" s="28" t="s">
        <v>235</v>
      </c>
      <c r="C364" s="29" t="s">
        <v>236</v>
      </c>
      <c r="D364" s="29" t="s">
        <v>237</v>
      </c>
      <c r="E364" s="29" t="s">
        <v>238</v>
      </c>
      <c r="F364" s="29" t="s">
        <v>239</v>
      </c>
      <c r="G364" s="29" t="s">
        <v>240</v>
      </c>
      <c r="H364" s="29" t="s">
        <v>241</v>
      </c>
    </row>
    <row r="365" spans="1:8">
      <c r="A365" s="28">
        <f>1</f>
        <v>1</v>
      </c>
      <c r="B365" s="28" t="e" vm="3">
        <f t="shared" ref="B365:B396" si="41">VLOOKUP(A365,$A$272:$AX$297,$T$10)</f>
        <v>#VALUE!</v>
      </c>
      <c r="C365" s="29" t="e">
        <f t="shared" ref="C365:C396" si="42">IF(A365&lt;$B$360+1,LARGE($A$10:$A$60,A365),NA())</f>
        <v>#N/A</v>
      </c>
      <c r="D365" s="29" t="e">
        <f t="shared" ref="D365:D396" si="43">IF(A365&lt;$B$360+1,SMALL($A$10:$A$60,A365),NA())</f>
        <v>#N/A</v>
      </c>
      <c r="E365" s="29" t="e" vm="1">
        <f t="shared" ref="E365:E396" si="44">IF(A365=FALSE,FALSE(),B365*(C365-D365))</f>
        <v>#VALUE!</v>
      </c>
      <c r="F365" s="29" t="e">
        <f t="shared" ref="F365:F396" si="45">LN(C365)</f>
        <v>#N/A</v>
      </c>
      <c r="G365" s="29" t="e">
        <f t="shared" ref="G365:G396" si="46">LN(D365)</f>
        <v>#N/A</v>
      </c>
      <c r="H365" s="29" t="e" vm="1">
        <f t="shared" ref="H365:H396" si="47">IF(A365=FALSE,FALSE(),B365*(F365-G365))</f>
        <v>#VALUE!</v>
      </c>
    </row>
    <row r="366" spans="1:8">
      <c r="A366" s="28" t="b">
        <f t="shared" ref="A366:A397" si="48">IF(A365&lt;$B$360,A365+1,FALSE())</f>
        <v>0</v>
      </c>
      <c r="B366" s="28" t="e">
        <f t="shared" si="41"/>
        <v>#N/A</v>
      </c>
      <c r="C366" s="29" t="e">
        <f t="shared" si="42"/>
        <v>#N/A</v>
      </c>
      <c r="D366" s="29" t="e">
        <f t="shared" si="43"/>
        <v>#N/A</v>
      </c>
      <c r="E366" s="29" t="b">
        <f t="shared" si="44"/>
        <v>0</v>
      </c>
      <c r="F366" s="29" t="e">
        <f t="shared" si="45"/>
        <v>#N/A</v>
      </c>
      <c r="G366" s="29" t="e">
        <f t="shared" si="46"/>
        <v>#N/A</v>
      </c>
      <c r="H366" s="29" t="b">
        <f t="shared" si="47"/>
        <v>0</v>
      </c>
    </row>
    <row r="367" spans="1:8">
      <c r="A367" s="28" t="b">
        <f t="shared" si="48"/>
        <v>0</v>
      </c>
      <c r="B367" s="28" t="e">
        <f t="shared" si="41"/>
        <v>#N/A</v>
      </c>
      <c r="C367" s="29" t="e">
        <f t="shared" si="42"/>
        <v>#N/A</v>
      </c>
      <c r="D367" s="29" t="e">
        <f t="shared" si="43"/>
        <v>#N/A</v>
      </c>
      <c r="E367" s="29" t="b">
        <f t="shared" si="44"/>
        <v>0</v>
      </c>
      <c r="F367" s="29" t="e">
        <f t="shared" si="45"/>
        <v>#N/A</v>
      </c>
      <c r="G367" s="29" t="e">
        <f t="shared" si="46"/>
        <v>#N/A</v>
      </c>
      <c r="H367" s="29" t="b">
        <f t="shared" si="47"/>
        <v>0</v>
      </c>
    </row>
    <row r="368" spans="1:8">
      <c r="A368" s="28" t="b">
        <f t="shared" si="48"/>
        <v>0</v>
      </c>
      <c r="B368" s="28" t="e">
        <f t="shared" si="41"/>
        <v>#N/A</v>
      </c>
      <c r="C368" s="29" t="e">
        <f t="shared" si="42"/>
        <v>#N/A</v>
      </c>
      <c r="D368" s="29" t="e">
        <f t="shared" si="43"/>
        <v>#N/A</v>
      </c>
      <c r="E368" s="29" t="b">
        <f t="shared" si="44"/>
        <v>0</v>
      </c>
      <c r="F368" s="29" t="e">
        <f t="shared" si="45"/>
        <v>#N/A</v>
      </c>
      <c r="G368" s="29" t="e">
        <f t="shared" si="46"/>
        <v>#N/A</v>
      </c>
      <c r="H368" s="29" t="b">
        <f t="shared" si="47"/>
        <v>0</v>
      </c>
    </row>
    <row r="369" spans="1:8">
      <c r="A369" s="28" t="b">
        <f t="shared" si="48"/>
        <v>0</v>
      </c>
      <c r="B369" s="28" t="e">
        <f t="shared" si="41"/>
        <v>#N/A</v>
      </c>
      <c r="C369" s="29" t="e">
        <f t="shared" si="42"/>
        <v>#N/A</v>
      </c>
      <c r="D369" s="29" t="e">
        <f t="shared" si="43"/>
        <v>#N/A</v>
      </c>
      <c r="E369" s="29" t="b">
        <f t="shared" si="44"/>
        <v>0</v>
      </c>
      <c r="F369" s="29" t="e">
        <f t="shared" si="45"/>
        <v>#N/A</v>
      </c>
      <c r="G369" s="29" t="e">
        <f t="shared" si="46"/>
        <v>#N/A</v>
      </c>
      <c r="H369" s="29" t="b">
        <f t="shared" si="47"/>
        <v>0</v>
      </c>
    </row>
    <row r="370" spans="1:8">
      <c r="A370" s="28" t="b">
        <f t="shared" si="48"/>
        <v>0</v>
      </c>
      <c r="B370" s="28" t="e">
        <f t="shared" si="41"/>
        <v>#N/A</v>
      </c>
      <c r="C370" s="29" t="e">
        <f t="shared" si="42"/>
        <v>#N/A</v>
      </c>
      <c r="D370" s="29" t="e">
        <f t="shared" si="43"/>
        <v>#N/A</v>
      </c>
      <c r="E370" s="29" t="b">
        <f t="shared" si="44"/>
        <v>0</v>
      </c>
      <c r="F370" s="29" t="e">
        <f t="shared" si="45"/>
        <v>#N/A</v>
      </c>
      <c r="G370" s="29" t="e">
        <f t="shared" si="46"/>
        <v>#N/A</v>
      </c>
      <c r="H370" s="29" t="b">
        <f t="shared" si="47"/>
        <v>0</v>
      </c>
    </row>
    <row r="371" spans="1:8">
      <c r="A371" s="28" t="b">
        <f t="shared" si="48"/>
        <v>0</v>
      </c>
      <c r="B371" s="28" t="e">
        <f t="shared" si="41"/>
        <v>#N/A</v>
      </c>
      <c r="C371" s="29" t="e">
        <f t="shared" si="42"/>
        <v>#N/A</v>
      </c>
      <c r="D371" s="29" t="e">
        <f t="shared" si="43"/>
        <v>#N/A</v>
      </c>
      <c r="E371" s="29" t="b">
        <f t="shared" si="44"/>
        <v>0</v>
      </c>
      <c r="F371" s="29" t="e">
        <f t="shared" si="45"/>
        <v>#N/A</v>
      </c>
      <c r="G371" s="29" t="e">
        <f t="shared" si="46"/>
        <v>#N/A</v>
      </c>
      <c r="H371" s="29" t="b">
        <f t="shared" si="47"/>
        <v>0</v>
      </c>
    </row>
    <row r="372" spans="1:8">
      <c r="A372" s="28" t="b">
        <f t="shared" si="48"/>
        <v>0</v>
      </c>
      <c r="B372" s="28" t="e">
        <f t="shared" si="41"/>
        <v>#N/A</v>
      </c>
      <c r="C372" s="29" t="e">
        <f t="shared" si="42"/>
        <v>#N/A</v>
      </c>
      <c r="D372" s="29" t="e">
        <f t="shared" si="43"/>
        <v>#N/A</v>
      </c>
      <c r="E372" s="29" t="b">
        <f t="shared" si="44"/>
        <v>0</v>
      </c>
      <c r="F372" s="29" t="e">
        <f t="shared" si="45"/>
        <v>#N/A</v>
      </c>
      <c r="G372" s="29" t="e">
        <f t="shared" si="46"/>
        <v>#N/A</v>
      </c>
      <c r="H372" s="29" t="b">
        <f t="shared" si="47"/>
        <v>0</v>
      </c>
    </row>
    <row r="373" spans="1:8">
      <c r="A373" s="28" t="b">
        <f t="shared" si="48"/>
        <v>0</v>
      </c>
      <c r="B373" s="28" t="e">
        <f t="shared" si="41"/>
        <v>#N/A</v>
      </c>
      <c r="C373" s="29" t="e">
        <f t="shared" si="42"/>
        <v>#N/A</v>
      </c>
      <c r="D373" s="29" t="e">
        <f t="shared" si="43"/>
        <v>#N/A</v>
      </c>
      <c r="E373" s="29" t="b">
        <f t="shared" si="44"/>
        <v>0</v>
      </c>
      <c r="F373" s="29" t="e">
        <f t="shared" si="45"/>
        <v>#N/A</v>
      </c>
      <c r="G373" s="29" t="e">
        <f t="shared" si="46"/>
        <v>#N/A</v>
      </c>
      <c r="H373" s="29" t="b">
        <f t="shared" si="47"/>
        <v>0</v>
      </c>
    </row>
    <row r="374" spans="1:8">
      <c r="A374" s="28" t="b">
        <f t="shared" si="48"/>
        <v>0</v>
      </c>
      <c r="B374" s="28" t="e">
        <f t="shared" si="41"/>
        <v>#N/A</v>
      </c>
      <c r="C374" s="29" t="e">
        <f t="shared" si="42"/>
        <v>#N/A</v>
      </c>
      <c r="D374" s="29" t="e">
        <f t="shared" si="43"/>
        <v>#N/A</v>
      </c>
      <c r="E374" s="29" t="b">
        <f t="shared" si="44"/>
        <v>0</v>
      </c>
      <c r="F374" s="29" t="e">
        <f t="shared" si="45"/>
        <v>#N/A</v>
      </c>
      <c r="G374" s="29" t="e">
        <f t="shared" si="46"/>
        <v>#N/A</v>
      </c>
      <c r="H374" s="29" t="b">
        <f t="shared" si="47"/>
        <v>0</v>
      </c>
    </row>
    <row r="375" spans="1:8">
      <c r="A375" s="28" t="b">
        <f t="shared" si="48"/>
        <v>0</v>
      </c>
      <c r="B375" s="28" t="e">
        <f t="shared" si="41"/>
        <v>#N/A</v>
      </c>
      <c r="C375" s="29" t="e">
        <f t="shared" si="42"/>
        <v>#N/A</v>
      </c>
      <c r="D375" s="29" t="e">
        <f t="shared" si="43"/>
        <v>#N/A</v>
      </c>
      <c r="E375" s="29" t="b">
        <f t="shared" si="44"/>
        <v>0</v>
      </c>
      <c r="F375" s="29" t="e">
        <f t="shared" si="45"/>
        <v>#N/A</v>
      </c>
      <c r="G375" s="29" t="e">
        <f t="shared" si="46"/>
        <v>#N/A</v>
      </c>
      <c r="H375" s="29" t="b">
        <f t="shared" si="47"/>
        <v>0</v>
      </c>
    </row>
    <row r="376" spans="1:8">
      <c r="A376" s="28" t="b">
        <f t="shared" si="48"/>
        <v>0</v>
      </c>
      <c r="B376" s="28" t="e">
        <f t="shared" si="41"/>
        <v>#N/A</v>
      </c>
      <c r="C376" s="29" t="e">
        <f t="shared" si="42"/>
        <v>#N/A</v>
      </c>
      <c r="D376" s="29" t="e">
        <f t="shared" si="43"/>
        <v>#N/A</v>
      </c>
      <c r="E376" s="29" t="b">
        <f t="shared" si="44"/>
        <v>0</v>
      </c>
      <c r="F376" s="29" t="e">
        <f t="shared" si="45"/>
        <v>#N/A</v>
      </c>
      <c r="G376" s="29" t="e">
        <f t="shared" si="46"/>
        <v>#N/A</v>
      </c>
      <c r="H376" s="29" t="b">
        <f t="shared" si="47"/>
        <v>0</v>
      </c>
    </row>
    <row r="377" spans="1:8">
      <c r="A377" s="28" t="b">
        <f t="shared" si="48"/>
        <v>0</v>
      </c>
      <c r="B377" s="28" t="e">
        <f t="shared" si="41"/>
        <v>#N/A</v>
      </c>
      <c r="C377" s="29" t="e">
        <f t="shared" si="42"/>
        <v>#N/A</v>
      </c>
      <c r="D377" s="29" t="e">
        <f t="shared" si="43"/>
        <v>#N/A</v>
      </c>
      <c r="E377" s="29" t="b">
        <f t="shared" si="44"/>
        <v>0</v>
      </c>
      <c r="F377" s="29" t="e">
        <f t="shared" si="45"/>
        <v>#N/A</v>
      </c>
      <c r="G377" s="29" t="e">
        <f t="shared" si="46"/>
        <v>#N/A</v>
      </c>
      <c r="H377" s="29" t="b">
        <f t="shared" si="47"/>
        <v>0</v>
      </c>
    </row>
    <row r="378" spans="1:8">
      <c r="A378" s="28" t="b">
        <f t="shared" si="48"/>
        <v>0</v>
      </c>
      <c r="B378" s="28" t="e">
        <f t="shared" si="41"/>
        <v>#N/A</v>
      </c>
      <c r="C378" s="29" t="e">
        <f t="shared" si="42"/>
        <v>#N/A</v>
      </c>
      <c r="D378" s="29" t="e">
        <f t="shared" si="43"/>
        <v>#N/A</v>
      </c>
      <c r="E378" s="29" t="b">
        <f t="shared" si="44"/>
        <v>0</v>
      </c>
      <c r="F378" s="29" t="e">
        <f t="shared" si="45"/>
        <v>#N/A</v>
      </c>
      <c r="G378" s="29" t="e">
        <f t="shared" si="46"/>
        <v>#N/A</v>
      </c>
      <c r="H378" s="29" t="b">
        <f t="shared" si="47"/>
        <v>0</v>
      </c>
    </row>
    <row r="379" spans="1:8">
      <c r="A379" s="28" t="b">
        <f t="shared" si="48"/>
        <v>0</v>
      </c>
      <c r="B379" s="28" t="e">
        <f t="shared" si="41"/>
        <v>#N/A</v>
      </c>
      <c r="C379" s="29" t="e">
        <f t="shared" si="42"/>
        <v>#N/A</v>
      </c>
      <c r="D379" s="29" t="e">
        <f t="shared" si="43"/>
        <v>#N/A</v>
      </c>
      <c r="E379" s="29" t="b">
        <f t="shared" si="44"/>
        <v>0</v>
      </c>
      <c r="F379" s="29" t="e">
        <f t="shared" si="45"/>
        <v>#N/A</v>
      </c>
      <c r="G379" s="29" t="e">
        <f t="shared" si="46"/>
        <v>#N/A</v>
      </c>
      <c r="H379" s="29" t="b">
        <f t="shared" si="47"/>
        <v>0</v>
      </c>
    </row>
    <row r="380" spans="1:8">
      <c r="A380" s="28" t="b">
        <f t="shared" si="48"/>
        <v>0</v>
      </c>
      <c r="B380" s="28" t="e">
        <f t="shared" si="41"/>
        <v>#N/A</v>
      </c>
      <c r="C380" s="29" t="e">
        <f t="shared" si="42"/>
        <v>#N/A</v>
      </c>
      <c r="D380" s="29" t="e">
        <f t="shared" si="43"/>
        <v>#N/A</v>
      </c>
      <c r="E380" s="29" t="b">
        <f t="shared" si="44"/>
        <v>0</v>
      </c>
      <c r="F380" s="29" t="e">
        <f t="shared" si="45"/>
        <v>#N/A</v>
      </c>
      <c r="G380" s="29" t="e">
        <f t="shared" si="46"/>
        <v>#N/A</v>
      </c>
      <c r="H380" s="29" t="b">
        <f t="shared" si="47"/>
        <v>0</v>
      </c>
    </row>
    <row r="381" spans="1:8">
      <c r="A381" s="28" t="b">
        <f t="shared" si="48"/>
        <v>0</v>
      </c>
      <c r="B381" s="28" t="e">
        <f t="shared" si="41"/>
        <v>#N/A</v>
      </c>
      <c r="C381" s="29" t="e">
        <f t="shared" si="42"/>
        <v>#N/A</v>
      </c>
      <c r="D381" s="29" t="e">
        <f t="shared" si="43"/>
        <v>#N/A</v>
      </c>
      <c r="E381" s="29" t="b">
        <f t="shared" si="44"/>
        <v>0</v>
      </c>
      <c r="F381" s="29" t="e">
        <f t="shared" si="45"/>
        <v>#N/A</v>
      </c>
      <c r="G381" s="29" t="e">
        <f t="shared" si="46"/>
        <v>#N/A</v>
      </c>
      <c r="H381" s="29" t="b">
        <f t="shared" si="47"/>
        <v>0</v>
      </c>
    </row>
    <row r="382" spans="1:8">
      <c r="A382" s="28" t="b">
        <f t="shared" si="48"/>
        <v>0</v>
      </c>
      <c r="B382" s="28" t="e">
        <f t="shared" si="41"/>
        <v>#N/A</v>
      </c>
      <c r="C382" s="29" t="e">
        <f t="shared" si="42"/>
        <v>#N/A</v>
      </c>
      <c r="D382" s="29" t="e">
        <f t="shared" si="43"/>
        <v>#N/A</v>
      </c>
      <c r="E382" s="29" t="b">
        <f t="shared" si="44"/>
        <v>0</v>
      </c>
      <c r="F382" s="29" t="e">
        <f t="shared" si="45"/>
        <v>#N/A</v>
      </c>
      <c r="G382" s="29" t="e">
        <f t="shared" si="46"/>
        <v>#N/A</v>
      </c>
      <c r="H382" s="29" t="b">
        <f t="shared" si="47"/>
        <v>0</v>
      </c>
    </row>
    <row r="383" spans="1:8">
      <c r="A383" s="28" t="b">
        <f t="shared" si="48"/>
        <v>0</v>
      </c>
      <c r="B383" s="28" t="e">
        <f t="shared" si="41"/>
        <v>#N/A</v>
      </c>
      <c r="C383" s="29" t="e">
        <f t="shared" si="42"/>
        <v>#N/A</v>
      </c>
      <c r="D383" s="29" t="e">
        <f t="shared" si="43"/>
        <v>#N/A</v>
      </c>
      <c r="E383" s="29" t="b">
        <f t="shared" si="44"/>
        <v>0</v>
      </c>
      <c r="F383" s="29" t="e">
        <f t="shared" si="45"/>
        <v>#N/A</v>
      </c>
      <c r="G383" s="29" t="e">
        <f t="shared" si="46"/>
        <v>#N/A</v>
      </c>
      <c r="H383" s="29" t="b">
        <f t="shared" si="47"/>
        <v>0</v>
      </c>
    </row>
    <row r="384" spans="1:8">
      <c r="A384" s="28" t="b">
        <f t="shared" si="48"/>
        <v>0</v>
      </c>
      <c r="B384" s="28" t="e">
        <f t="shared" si="41"/>
        <v>#N/A</v>
      </c>
      <c r="C384" s="29" t="e">
        <f t="shared" si="42"/>
        <v>#N/A</v>
      </c>
      <c r="D384" s="29" t="e">
        <f t="shared" si="43"/>
        <v>#N/A</v>
      </c>
      <c r="E384" s="29" t="b">
        <f t="shared" si="44"/>
        <v>0</v>
      </c>
      <c r="F384" s="29" t="e">
        <f t="shared" si="45"/>
        <v>#N/A</v>
      </c>
      <c r="G384" s="29" t="e">
        <f t="shared" si="46"/>
        <v>#N/A</v>
      </c>
      <c r="H384" s="29" t="b">
        <f t="shared" si="47"/>
        <v>0</v>
      </c>
    </row>
    <row r="385" spans="1:8">
      <c r="A385" s="28" t="b">
        <f t="shared" si="48"/>
        <v>0</v>
      </c>
      <c r="B385" s="28" t="e">
        <f t="shared" si="41"/>
        <v>#N/A</v>
      </c>
      <c r="C385" s="29" t="e">
        <f t="shared" si="42"/>
        <v>#N/A</v>
      </c>
      <c r="D385" s="29" t="e">
        <f t="shared" si="43"/>
        <v>#N/A</v>
      </c>
      <c r="E385" s="29" t="b">
        <f t="shared" si="44"/>
        <v>0</v>
      </c>
      <c r="F385" s="29" t="e">
        <f t="shared" si="45"/>
        <v>#N/A</v>
      </c>
      <c r="G385" s="29" t="e">
        <f t="shared" si="46"/>
        <v>#N/A</v>
      </c>
      <c r="H385" s="29" t="b">
        <f t="shared" si="47"/>
        <v>0</v>
      </c>
    </row>
    <row r="386" spans="1:8">
      <c r="A386" s="28" t="b">
        <f t="shared" si="48"/>
        <v>0</v>
      </c>
      <c r="B386" s="28" t="e">
        <f t="shared" si="41"/>
        <v>#N/A</v>
      </c>
      <c r="C386" s="29" t="e">
        <f t="shared" si="42"/>
        <v>#N/A</v>
      </c>
      <c r="D386" s="29" t="e">
        <f t="shared" si="43"/>
        <v>#N/A</v>
      </c>
      <c r="E386" s="29" t="b">
        <f t="shared" si="44"/>
        <v>0</v>
      </c>
      <c r="F386" s="29" t="e">
        <f t="shared" si="45"/>
        <v>#N/A</v>
      </c>
      <c r="G386" s="29" t="e">
        <f t="shared" si="46"/>
        <v>#N/A</v>
      </c>
      <c r="H386" s="29" t="b">
        <f t="shared" si="47"/>
        <v>0</v>
      </c>
    </row>
    <row r="387" spans="1:8">
      <c r="A387" s="28" t="b">
        <f t="shared" si="48"/>
        <v>0</v>
      </c>
      <c r="B387" s="28" t="e">
        <f t="shared" si="41"/>
        <v>#N/A</v>
      </c>
      <c r="C387" s="29" t="e">
        <f t="shared" si="42"/>
        <v>#N/A</v>
      </c>
      <c r="D387" s="29" t="e">
        <f t="shared" si="43"/>
        <v>#N/A</v>
      </c>
      <c r="E387" s="29" t="b">
        <f t="shared" si="44"/>
        <v>0</v>
      </c>
      <c r="F387" s="29" t="e">
        <f t="shared" si="45"/>
        <v>#N/A</v>
      </c>
      <c r="G387" s="29" t="e">
        <f t="shared" si="46"/>
        <v>#N/A</v>
      </c>
      <c r="H387" s="29" t="b">
        <f t="shared" si="47"/>
        <v>0</v>
      </c>
    </row>
    <row r="388" spans="1:8">
      <c r="A388" s="28" t="b">
        <f t="shared" si="48"/>
        <v>0</v>
      </c>
      <c r="B388" s="28" t="e">
        <f t="shared" si="41"/>
        <v>#N/A</v>
      </c>
      <c r="C388" s="29" t="e">
        <f t="shared" si="42"/>
        <v>#N/A</v>
      </c>
      <c r="D388" s="29" t="e">
        <f t="shared" si="43"/>
        <v>#N/A</v>
      </c>
      <c r="E388" s="29" t="b">
        <f t="shared" si="44"/>
        <v>0</v>
      </c>
      <c r="F388" s="29" t="e">
        <f t="shared" si="45"/>
        <v>#N/A</v>
      </c>
      <c r="G388" s="29" t="e">
        <f t="shared" si="46"/>
        <v>#N/A</v>
      </c>
      <c r="H388" s="29" t="b">
        <f t="shared" si="47"/>
        <v>0</v>
      </c>
    </row>
    <row r="389" spans="1:8">
      <c r="A389" s="28" t="b">
        <f t="shared" si="48"/>
        <v>0</v>
      </c>
      <c r="B389" s="28" t="e">
        <f t="shared" si="41"/>
        <v>#N/A</v>
      </c>
      <c r="C389" s="29" t="e">
        <f t="shared" si="42"/>
        <v>#N/A</v>
      </c>
      <c r="D389" s="29" t="e">
        <f t="shared" si="43"/>
        <v>#N/A</v>
      </c>
      <c r="E389" s="29" t="b">
        <f t="shared" si="44"/>
        <v>0</v>
      </c>
      <c r="F389" s="29" t="e">
        <f t="shared" si="45"/>
        <v>#N/A</v>
      </c>
      <c r="G389" s="29" t="e">
        <f t="shared" si="46"/>
        <v>#N/A</v>
      </c>
      <c r="H389" s="29" t="b">
        <f t="shared" si="47"/>
        <v>0</v>
      </c>
    </row>
    <row r="390" spans="1:8">
      <c r="A390" s="28" t="b">
        <f t="shared" si="48"/>
        <v>0</v>
      </c>
      <c r="B390" s="28" t="e">
        <f t="shared" si="41"/>
        <v>#N/A</v>
      </c>
      <c r="C390" s="29" t="e">
        <f t="shared" si="42"/>
        <v>#N/A</v>
      </c>
      <c r="D390" s="29" t="e">
        <f t="shared" si="43"/>
        <v>#N/A</v>
      </c>
      <c r="E390" s="29" t="b">
        <f t="shared" si="44"/>
        <v>0</v>
      </c>
      <c r="F390" s="29" t="e">
        <f t="shared" si="45"/>
        <v>#N/A</v>
      </c>
      <c r="G390" s="29" t="e">
        <f t="shared" si="46"/>
        <v>#N/A</v>
      </c>
      <c r="H390" s="29" t="b">
        <f t="shared" si="47"/>
        <v>0</v>
      </c>
    </row>
    <row r="391" spans="1:8">
      <c r="A391" s="28" t="b">
        <f t="shared" si="48"/>
        <v>0</v>
      </c>
      <c r="B391" s="28" t="e">
        <f t="shared" si="41"/>
        <v>#N/A</v>
      </c>
      <c r="C391" s="29" t="e">
        <f t="shared" si="42"/>
        <v>#N/A</v>
      </c>
      <c r="D391" s="29" t="e">
        <f t="shared" si="43"/>
        <v>#N/A</v>
      </c>
      <c r="E391" s="29" t="b">
        <f t="shared" si="44"/>
        <v>0</v>
      </c>
      <c r="F391" s="29" t="e">
        <f t="shared" si="45"/>
        <v>#N/A</v>
      </c>
      <c r="G391" s="29" t="e">
        <f t="shared" si="46"/>
        <v>#N/A</v>
      </c>
      <c r="H391" s="29" t="b">
        <f t="shared" si="47"/>
        <v>0</v>
      </c>
    </row>
    <row r="392" spans="1:8">
      <c r="A392" s="28" t="b">
        <f t="shared" si="48"/>
        <v>0</v>
      </c>
      <c r="B392" s="28" t="e">
        <f t="shared" si="41"/>
        <v>#N/A</v>
      </c>
      <c r="C392" s="29" t="e">
        <f t="shared" si="42"/>
        <v>#N/A</v>
      </c>
      <c r="D392" s="29" t="e">
        <f t="shared" si="43"/>
        <v>#N/A</v>
      </c>
      <c r="E392" s="29" t="b">
        <f t="shared" si="44"/>
        <v>0</v>
      </c>
      <c r="F392" s="29" t="e">
        <f t="shared" si="45"/>
        <v>#N/A</v>
      </c>
      <c r="G392" s="29" t="e">
        <f t="shared" si="46"/>
        <v>#N/A</v>
      </c>
      <c r="H392" s="29" t="b">
        <f t="shared" si="47"/>
        <v>0</v>
      </c>
    </row>
    <row r="393" spans="1:8">
      <c r="A393" s="28" t="b">
        <f t="shared" si="48"/>
        <v>0</v>
      </c>
      <c r="B393" s="28" t="e">
        <f t="shared" si="41"/>
        <v>#N/A</v>
      </c>
      <c r="C393" s="29" t="e">
        <f t="shared" si="42"/>
        <v>#N/A</v>
      </c>
      <c r="D393" s="29" t="e">
        <f t="shared" si="43"/>
        <v>#N/A</v>
      </c>
      <c r="E393" s="29" t="b">
        <f t="shared" si="44"/>
        <v>0</v>
      </c>
      <c r="F393" s="29" t="e">
        <f t="shared" si="45"/>
        <v>#N/A</v>
      </c>
      <c r="G393" s="29" t="e">
        <f t="shared" si="46"/>
        <v>#N/A</v>
      </c>
      <c r="H393" s="29" t="b">
        <f t="shared" si="47"/>
        <v>0</v>
      </c>
    </row>
    <row r="394" spans="1:8">
      <c r="A394" s="28" t="b">
        <f t="shared" si="48"/>
        <v>0</v>
      </c>
      <c r="B394" s="28" t="e">
        <f t="shared" si="41"/>
        <v>#N/A</v>
      </c>
      <c r="C394" s="29" t="e">
        <f t="shared" si="42"/>
        <v>#N/A</v>
      </c>
      <c r="D394" s="29" t="e">
        <f t="shared" si="43"/>
        <v>#N/A</v>
      </c>
      <c r="E394" s="29" t="b">
        <f t="shared" si="44"/>
        <v>0</v>
      </c>
      <c r="F394" s="29" t="e">
        <f t="shared" si="45"/>
        <v>#N/A</v>
      </c>
      <c r="G394" s="29" t="e">
        <f t="shared" si="46"/>
        <v>#N/A</v>
      </c>
      <c r="H394" s="29" t="b">
        <f t="shared" si="47"/>
        <v>0</v>
      </c>
    </row>
    <row r="395" spans="1:8">
      <c r="A395" s="28" t="b">
        <f t="shared" si="48"/>
        <v>0</v>
      </c>
      <c r="B395" s="28" t="e">
        <f t="shared" si="41"/>
        <v>#N/A</v>
      </c>
      <c r="C395" s="29" t="e">
        <f t="shared" si="42"/>
        <v>#N/A</v>
      </c>
      <c r="D395" s="29" t="e">
        <f t="shared" si="43"/>
        <v>#N/A</v>
      </c>
      <c r="E395" s="29" t="b">
        <f t="shared" si="44"/>
        <v>0</v>
      </c>
      <c r="F395" s="29" t="e">
        <f t="shared" si="45"/>
        <v>#N/A</v>
      </c>
      <c r="G395" s="29" t="e">
        <f t="shared" si="46"/>
        <v>#N/A</v>
      </c>
      <c r="H395" s="29" t="b">
        <f t="shared" si="47"/>
        <v>0</v>
      </c>
    </row>
    <row r="396" spans="1:8">
      <c r="A396" s="28" t="b">
        <f t="shared" si="48"/>
        <v>0</v>
      </c>
      <c r="B396" s="28" t="e">
        <f t="shared" si="41"/>
        <v>#N/A</v>
      </c>
      <c r="C396" s="29" t="e">
        <f t="shared" si="42"/>
        <v>#N/A</v>
      </c>
      <c r="D396" s="29" t="e">
        <f t="shared" si="43"/>
        <v>#N/A</v>
      </c>
      <c r="E396" s="29" t="b">
        <f t="shared" si="44"/>
        <v>0</v>
      </c>
      <c r="F396" s="29" t="e">
        <f t="shared" si="45"/>
        <v>#N/A</v>
      </c>
      <c r="G396" s="29" t="e">
        <f t="shared" si="46"/>
        <v>#N/A</v>
      </c>
      <c r="H396" s="29" t="b">
        <f t="shared" si="47"/>
        <v>0</v>
      </c>
    </row>
    <row r="397" spans="1:8">
      <c r="A397" s="28" t="b">
        <f t="shared" si="48"/>
        <v>0</v>
      </c>
      <c r="B397" s="28" t="e">
        <f t="shared" ref="B397:B414" si="49">VLOOKUP(A397,$A$272:$AX$297,$T$10)</f>
        <v>#N/A</v>
      </c>
      <c r="C397" s="29" t="e">
        <f t="shared" ref="C397:C414" si="50">IF(A397&lt;$B$360+1,LARGE($A$10:$A$60,A397),NA())</f>
        <v>#N/A</v>
      </c>
      <c r="D397" s="29" t="e">
        <f t="shared" ref="D397:D414" si="51">IF(A397&lt;$B$360+1,SMALL($A$10:$A$60,A397),NA())</f>
        <v>#N/A</v>
      </c>
      <c r="E397" s="29" t="b">
        <f t="shared" ref="E397:E414" si="52">IF(A397=FALSE,FALSE(),B397*(C397-D397))</f>
        <v>0</v>
      </c>
      <c r="F397" s="29" t="e">
        <f t="shared" ref="F397:F414" si="53">LN(C397)</f>
        <v>#N/A</v>
      </c>
      <c r="G397" s="29" t="e">
        <f t="shared" ref="G397:G414" si="54">LN(D397)</f>
        <v>#N/A</v>
      </c>
      <c r="H397" s="29" t="b">
        <f t="shared" ref="H397:H414" si="55">IF(A397=FALSE,FALSE(),B397*(F397-G397))</f>
        <v>0</v>
      </c>
    </row>
    <row r="398" spans="1:8">
      <c r="A398" s="28" t="b">
        <f t="shared" ref="A398:A414" si="56">IF(A397&lt;$B$360,A397+1,FALSE())</f>
        <v>0</v>
      </c>
      <c r="B398" s="28" t="e">
        <f t="shared" si="49"/>
        <v>#N/A</v>
      </c>
      <c r="C398" s="29" t="e">
        <f t="shared" si="50"/>
        <v>#N/A</v>
      </c>
      <c r="D398" s="29" t="e">
        <f t="shared" si="51"/>
        <v>#N/A</v>
      </c>
      <c r="E398" s="29" t="b">
        <f t="shared" si="52"/>
        <v>0</v>
      </c>
      <c r="F398" s="29" t="e">
        <f t="shared" si="53"/>
        <v>#N/A</v>
      </c>
      <c r="G398" s="29" t="e">
        <f t="shared" si="54"/>
        <v>#N/A</v>
      </c>
      <c r="H398" s="29" t="b">
        <f t="shared" si="55"/>
        <v>0</v>
      </c>
    </row>
    <row r="399" spans="1:8">
      <c r="A399" s="28" t="b">
        <f t="shared" si="56"/>
        <v>0</v>
      </c>
      <c r="B399" s="28" t="e">
        <f t="shared" si="49"/>
        <v>#N/A</v>
      </c>
      <c r="C399" s="29" t="e">
        <f t="shared" si="50"/>
        <v>#N/A</v>
      </c>
      <c r="D399" s="29" t="e">
        <f t="shared" si="51"/>
        <v>#N/A</v>
      </c>
      <c r="E399" s="29" t="b">
        <f t="shared" si="52"/>
        <v>0</v>
      </c>
      <c r="F399" s="29" t="e">
        <f t="shared" si="53"/>
        <v>#N/A</v>
      </c>
      <c r="G399" s="29" t="e">
        <f t="shared" si="54"/>
        <v>#N/A</v>
      </c>
      <c r="H399" s="29" t="b">
        <f t="shared" si="55"/>
        <v>0</v>
      </c>
    </row>
    <row r="400" spans="1:8">
      <c r="A400" s="28" t="b">
        <f t="shared" si="56"/>
        <v>0</v>
      </c>
      <c r="B400" s="28" t="e">
        <f t="shared" si="49"/>
        <v>#N/A</v>
      </c>
      <c r="C400" s="29" t="e">
        <f t="shared" si="50"/>
        <v>#N/A</v>
      </c>
      <c r="D400" s="29" t="e">
        <f t="shared" si="51"/>
        <v>#N/A</v>
      </c>
      <c r="E400" s="29" t="b">
        <f t="shared" si="52"/>
        <v>0</v>
      </c>
      <c r="F400" s="29" t="e">
        <f t="shared" si="53"/>
        <v>#N/A</v>
      </c>
      <c r="G400" s="29" t="e">
        <f t="shared" si="54"/>
        <v>#N/A</v>
      </c>
      <c r="H400" s="29" t="b">
        <f t="shared" si="55"/>
        <v>0</v>
      </c>
    </row>
    <row r="401" spans="1:8">
      <c r="A401" s="28" t="b">
        <f t="shared" si="56"/>
        <v>0</v>
      </c>
      <c r="B401" s="28" t="e">
        <f t="shared" si="49"/>
        <v>#N/A</v>
      </c>
      <c r="C401" s="29" t="e">
        <f t="shared" si="50"/>
        <v>#N/A</v>
      </c>
      <c r="D401" s="29" t="e">
        <f t="shared" si="51"/>
        <v>#N/A</v>
      </c>
      <c r="E401" s="29" t="b">
        <f t="shared" si="52"/>
        <v>0</v>
      </c>
      <c r="F401" s="29" t="e">
        <f t="shared" si="53"/>
        <v>#N/A</v>
      </c>
      <c r="G401" s="29" t="e">
        <f t="shared" si="54"/>
        <v>#N/A</v>
      </c>
      <c r="H401" s="29" t="b">
        <f t="shared" si="55"/>
        <v>0</v>
      </c>
    </row>
    <row r="402" spans="1:8">
      <c r="A402" s="28" t="b">
        <f t="shared" si="56"/>
        <v>0</v>
      </c>
      <c r="B402" s="28" t="e">
        <f t="shared" si="49"/>
        <v>#N/A</v>
      </c>
      <c r="C402" s="29" t="e">
        <f t="shared" si="50"/>
        <v>#N/A</v>
      </c>
      <c r="D402" s="29" t="e">
        <f t="shared" si="51"/>
        <v>#N/A</v>
      </c>
      <c r="E402" s="29" t="b">
        <f t="shared" si="52"/>
        <v>0</v>
      </c>
      <c r="F402" s="29" t="e">
        <f t="shared" si="53"/>
        <v>#N/A</v>
      </c>
      <c r="G402" s="29" t="e">
        <f t="shared" si="54"/>
        <v>#N/A</v>
      </c>
      <c r="H402" s="29" t="b">
        <f t="shared" si="55"/>
        <v>0</v>
      </c>
    </row>
    <row r="403" spans="1:8">
      <c r="A403" s="28" t="b">
        <f t="shared" si="56"/>
        <v>0</v>
      </c>
      <c r="B403" s="28" t="e">
        <f t="shared" si="49"/>
        <v>#N/A</v>
      </c>
      <c r="C403" s="29" t="e">
        <f t="shared" si="50"/>
        <v>#N/A</v>
      </c>
      <c r="D403" s="29" t="e">
        <f t="shared" si="51"/>
        <v>#N/A</v>
      </c>
      <c r="E403" s="29" t="b">
        <f t="shared" si="52"/>
        <v>0</v>
      </c>
      <c r="F403" s="29" t="e">
        <f t="shared" si="53"/>
        <v>#N/A</v>
      </c>
      <c r="G403" s="29" t="e">
        <f t="shared" si="54"/>
        <v>#N/A</v>
      </c>
      <c r="H403" s="29" t="b">
        <f t="shared" si="55"/>
        <v>0</v>
      </c>
    </row>
    <row r="404" spans="1:8">
      <c r="A404" s="28" t="b">
        <f t="shared" si="56"/>
        <v>0</v>
      </c>
      <c r="B404" s="28" t="e">
        <f t="shared" si="49"/>
        <v>#N/A</v>
      </c>
      <c r="C404" s="29" t="e">
        <f t="shared" si="50"/>
        <v>#N/A</v>
      </c>
      <c r="D404" s="29" t="e">
        <f t="shared" si="51"/>
        <v>#N/A</v>
      </c>
      <c r="E404" s="29" t="b">
        <f t="shared" si="52"/>
        <v>0</v>
      </c>
      <c r="F404" s="29" t="e">
        <f t="shared" si="53"/>
        <v>#N/A</v>
      </c>
      <c r="G404" s="29" t="e">
        <f t="shared" si="54"/>
        <v>#N/A</v>
      </c>
      <c r="H404" s="29" t="b">
        <f t="shared" si="55"/>
        <v>0</v>
      </c>
    </row>
    <row r="405" spans="1:8">
      <c r="A405" s="28" t="b">
        <f t="shared" si="56"/>
        <v>0</v>
      </c>
      <c r="B405" s="28" t="e">
        <f t="shared" si="49"/>
        <v>#N/A</v>
      </c>
      <c r="C405" s="29" t="e">
        <f t="shared" si="50"/>
        <v>#N/A</v>
      </c>
      <c r="D405" s="29" t="e">
        <f t="shared" si="51"/>
        <v>#N/A</v>
      </c>
      <c r="E405" s="29" t="b">
        <f t="shared" si="52"/>
        <v>0</v>
      </c>
      <c r="F405" s="29" t="e">
        <f t="shared" si="53"/>
        <v>#N/A</v>
      </c>
      <c r="G405" s="29" t="e">
        <f t="shared" si="54"/>
        <v>#N/A</v>
      </c>
      <c r="H405" s="29" t="b">
        <f t="shared" si="55"/>
        <v>0</v>
      </c>
    </row>
    <row r="406" spans="1:8">
      <c r="A406" s="28" t="b">
        <f t="shared" si="56"/>
        <v>0</v>
      </c>
      <c r="B406" s="28" t="e">
        <f t="shared" si="49"/>
        <v>#N/A</v>
      </c>
      <c r="C406" s="29" t="e">
        <f t="shared" si="50"/>
        <v>#N/A</v>
      </c>
      <c r="D406" s="29" t="e">
        <f t="shared" si="51"/>
        <v>#N/A</v>
      </c>
      <c r="E406" s="29" t="b">
        <f t="shared" si="52"/>
        <v>0</v>
      </c>
      <c r="F406" s="29" t="e">
        <f t="shared" si="53"/>
        <v>#N/A</v>
      </c>
      <c r="G406" s="29" t="e">
        <f t="shared" si="54"/>
        <v>#N/A</v>
      </c>
      <c r="H406" s="29" t="b">
        <f t="shared" si="55"/>
        <v>0</v>
      </c>
    </row>
    <row r="407" spans="1:8">
      <c r="A407" s="28" t="b">
        <f t="shared" si="56"/>
        <v>0</v>
      </c>
      <c r="B407" s="28" t="e">
        <f t="shared" si="49"/>
        <v>#N/A</v>
      </c>
      <c r="C407" s="29" t="e">
        <f t="shared" si="50"/>
        <v>#N/A</v>
      </c>
      <c r="D407" s="29" t="e">
        <f t="shared" si="51"/>
        <v>#N/A</v>
      </c>
      <c r="E407" s="29" t="b">
        <f t="shared" si="52"/>
        <v>0</v>
      </c>
      <c r="F407" s="29" t="e">
        <f t="shared" si="53"/>
        <v>#N/A</v>
      </c>
      <c r="G407" s="29" t="e">
        <f t="shared" si="54"/>
        <v>#N/A</v>
      </c>
      <c r="H407" s="29" t="b">
        <f t="shared" si="55"/>
        <v>0</v>
      </c>
    </row>
    <row r="408" spans="1:8">
      <c r="A408" s="28" t="b">
        <f t="shared" si="56"/>
        <v>0</v>
      </c>
      <c r="B408" s="28" t="e">
        <f t="shared" si="49"/>
        <v>#N/A</v>
      </c>
      <c r="C408" s="29" t="e">
        <f t="shared" si="50"/>
        <v>#N/A</v>
      </c>
      <c r="D408" s="29" t="e">
        <f t="shared" si="51"/>
        <v>#N/A</v>
      </c>
      <c r="E408" s="29" t="b">
        <f t="shared" si="52"/>
        <v>0</v>
      </c>
      <c r="F408" s="29" t="e">
        <f t="shared" si="53"/>
        <v>#N/A</v>
      </c>
      <c r="G408" s="29" t="e">
        <f t="shared" si="54"/>
        <v>#N/A</v>
      </c>
      <c r="H408" s="29" t="b">
        <f t="shared" si="55"/>
        <v>0</v>
      </c>
    </row>
    <row r="409" spans="1:8">
      <c r="A409" s="28" t="b">
        <f t="shared" si="56"/>
        <v>0</v>
      </c>
      <c r="B409" s="28" t="e">
        <f t="shared" si="49"/>
        <v>#N/A</v>
      </c>
      <c r="C409" s="29" t="e">
        <f t="shared" si="50"/>
        <v>#N/A</v>
      </c>
      <c r="D409" s="29" t="e">
        <f t="shared" si="51"/>
        <v>#N/A</v>
      </c>
      <c r="E409" s="29" t="b">
        <f t="shared" si="52"/>
        <v>0</v>
      </c>
      <c r="F409" s="29" t="e">
        <f t="shared" si="53"/>
        <v>#N/A</v>
      </c>
      <c r="G409" s="29" t="e">
        <f t="shared" si="54"/>
        <v>#N/A</v>
      </c>
      <c r="H409" s="29" t="b">
        <f t="shared" si="55"/>
        <v>0</v>
      </c>
    </row>
    <row r="410" spans="1:8">
      <c r="A410" s="28" t="b">
        <f t="shared" si="56"/>
        <v>0</v>
      </c>
      <c r="B410" s="28" t="e">
        <f t="shared" si="49"/>
        <v>#N/A</v>
      </c>
      <c r="C410" s="29" t="e">
        <f t="shared" si="50"/>
        <v>#N/A</v>
      </c>
      <c r="D410" s="29" t="e">
        <f t="shared" si="51"/>
        <v>#N/A</v>
      </c>
      <c r="E410" s="29" t="b">
        <f t="shared" si="52"/>
        <v>0</v>
      </c>
      <c r="F410" s="29" t="e">
        <f t="shared" si="53"/>
        <v>#N/A</v>
      </c>
      <c r="G410" s="29" t="e">
        <f t="shared" si="54"/>
        <v>#N/A</v>
      </c>
      <c r="H410" s="29" t="b">
        <f t="shared" si="55"/>
        <v>0</v>
      </c>
    </row>
    <row r="411" spans="1:8">
      <c r="A411" s="28" t="b">
        <f t="shared" si="56"/>
        <v>0</v>
      </c>
      <c r="B411" s="28" t="e">
        <f t="shared" si="49"/>
        <v>#N/A</v>
      </c>
      <c r="C411" s="29" t="e">
        <f t="shared" si="50"/>
        <v>#N/A</v>
      </c>
      <c r="D411" s="29" t="e">
        <f t="shared" si="51"/>
        <v>#N/A</v>
      </c>
      <c r="E411" s="29" t="b">
        <f t="shared" si="52"/>
        <v>0</v>
      </c>
      <c r="F411" s="29" t="e">
        <f t="shared" si="53"/>
        <v>#N/A</v>
      </c>
      <c r="G411" s="29" t="e">
        <f t="shared" si="54"/>
        <v>#N/A</v>
      </c>
      <c r="H411" s="29" t="b">
        <f t="shared" si="55"/>
        <v>0</v>
      </c>
    </row>
    <row r="412" spans="1:8">
      <c r="A412" s="28" t="b">
        <f t="shared" si="56"/>
        <v>0</v>
      </c>
      <c r="B412" s="28" t="e">
        <f t="shared" si="49"/>
        <v>#N/A</v>
      </c>
      <c r="C412" s="29" t="e">
        <f t="shared" si="50"/>
        <v>#N/A</v>
      </c>
      <c r="D412" s="29" t="e">
        <f t="shared" si="51"/>
        <v>#N/A</v>
      </c>
      <c r="E412" s="29" t="b">
        <f t="shared" si="52"/>
        <v>0</v>
      </c>
      <c r="F412" s="29" t="e">
        <f t="shared" si="53"/>
        <v>#N/A</v>
      </c>
      <c r="G412" s="29" t="e">
        <f t="shared" si="54"/>
        <v>#N/A</v>
      </c>
      <c r="H412" s="29" t="b">
        <f t="shared" si="55"/>
        <v>0</v>
      </c>
    </row>
    <row r="413" spans="1:8">
      <c r="A413" s="28" t="b">
        <f t="shared" si="56"/>
        <v>0</v>
      </c>
      <c r="B413" s="28" t="e">
        <f t="shared" si="49"/>
        <v>#N/A</v>
      </c>
      <c r="C413" s="29" t="e">
        <f t="shared" si="50"/>
        <v>#N/A</v>
      </c>
      <c r="D413" s="29" t="e">
        <f t="shared" si="51"/>
        <v>#N/A</v>
      </c>
      <c r="E413" s="29" t="b">
        <f t="shared" si="52"/>
        <v>0</v>
      </c>
      <c r="F413" s="29" t="e">
        <f t="shared" si="53"/>
        <v>#N/A</v>
      </c>
      <c r="G413" s="29" t="e">
        <f t="shared" si="54"/>
        <v>#N/A</v>
      </c>
      <c r="H413" s="29" t="b">
        <f t="shared" si="55"/>
        <v>0</v>
      </c>
    </row>
    <row r="414" spans="1:8">
      <c r="A414" s="28" t="b">
        <f t="shared" si="56"/>
        <v>0</v>
      </c>
      <c r="B414" s="28" t="e">
        <f t="shared" si="49"/>
        <v>#N/A</v>
      </c>
      <c r="C414" s="29" t="e">
        <f t="shared" si="50"/>
        <v>#N/A</v>
      </c>
      <c r="D414" s="29" t="e">
        <f t="shared" si="51"/>
        <v>#N/A</v>
      </c>
      <c r="E414" s="29" t="b">
        <f t="shared" si="52"/>
        <v>0</v>
      </c>
      <c r="F414" s="29" t="e">
        <f t="shared" si="53"/>
        <v>#N/A</v>
      </c>
      <c r="G414" s="29" t="e">
        <f t="shared" si="54"/>
        <v>#N/A</v>
      </c>
      <c r="H414" s="29" t="b">
        <f t="shared" si="55"/>
        <v>0</v>
      </c>
    </row>
    <row r="416" spans="1:8">
      <c r="D416" s="29" t="s">
        <v>242</v>
      </c>
      <c r="E416" s="29" t="e" vm="1">
        <f>SUM(E365:E414)</f>
        <v>#VALUE!</v>
      </c>
      <c r="G416" s="29" t="s">
        <v>243</v>
      </c>
      <c r="H416" s="29" t="e" vm="1">
        <f>SUM(H365:H414)</f>
        <v>#VALUE!</v>
      </c>
    </row>
  </sheetData>
  <phoneticPr fontId="10" type="noConversion"/>
  <printOptions horizontalCentered="1" verticalCentered="1"/>
  <pageMargins left="0.5" right="0.5" top="0.5" bottom="0.5" header="0.5" footer="0.5"/>
  <pageSetup scale="75" fitToWidth="3" fitToHeight="3" orientation="portrait" horizontalDpi="300" verticalDpi="300"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6B0485D2082C13489E0151DA3A818465" ma:contentTypeVersion="0" ma:contentTypeDescription="Crie um novo documento." ma:contentTypeScope="" ma:versionID="cfc1eb404922b2c6e1897810e0b81092">
  <xsd:schema xmlns:xsd="http://www.w3.org/2001/XMLSchema" xmlns:p="http://schemas.microsoft.com/office/2006/metadata/properties" targetNamespace="http://schemas.microsoft.com/office/2006/metadata/properties" ma:root="true" ma:fieldsID="834597303d62dd03ddcd59f56325a213">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ma:readOnly="true"/>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73B8845-EAE0-4E19-A35E-0DBAB8FFC66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96F3899-A9D7-499B-A6CE-A835E5612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B99A3C14-1B53-4EFB-B220-C589C37124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9</vt:i4>
      </vt:variant>
    </vt:vector>
  </HeadingPairs>
  <TitlesOfParts>
    <vt:vector size="22" baseType="lpstr">
      <vt:lpstr>Sumario_GHE</vt:lpstr>
      <vt:lpstr>Ruido</vt:lpstr>
      <vt:lpstr>Stat_Ruido</vt:lpstr>
      <vt:lpstr>Calor</vt:lpstr>
      <vt:lpstr>Vibração VCI</vt:lpstr>
      <vt:lpstr>Vibração VMB</vt:lpstr>
      <vt:lpstr>Poeira Mineral - Respirável</vt:lpstr>
      <vt:lpstr>Stat_Silica</vt:lpstr>
      <vt:lpstr>Stat_Poeira</vt:lpstr>
      <vt:lpstr>Poeira Mineral - Total</vt:lpstr>
      <vt:lpstr>PNOS</vt:lpstr>
      <vt:lpstr>Agentes_Quimicos -Quantitativos</vt:lpstr>
      <vt:lpstr>Avaliação Qualitativa</vt:lpstr>
      <vt:lpstr>'Agentes_Quimicos -Quantitativos'!Area_de_impressao</vt:lpstr>
      <vt:lpstr>Calor!Area_de_impressao</vt:lpstr>
      <vt:lpstr>PNOS!Area_de_impressao</vt:lpstr>
      <vt:lpstr>'Poeira Mineral - Respirável'!Area_de_impressao</vt:lpstr>
      <vt:lpstr>'Poeira Mineral - Total'!Area_de_impressao</vt:lpstr>
      <vt:lpstr>Ruido!Area_de_impressao</vt:lpstr>
      <vt:lpstr>Sumario_GHE!Area_de_impressao</vt:lpstr>
      <vt:lpstr>'Vibração VCI'!Area_de_impressao</vt:lpstr>
      <vt:lpstr>'Vibração VMB'!Area_de_impressao</vt:lpstr>
    </vt:vector>
  </TitlesOfParts>
  <Company>VALE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01509526</dc:creator>
  <cp:lastModifiedBy>CAMPOS, MALU - Uberaba 3, MG</cp:lastModifiedBy>
  <cp:lastPrinted>2012-06-11T23:30:22Z</cp:lastPrinted>
  <dcterms:created xsi:type="dcterms:W3CDTF">2011-09-28T19:11:12Z</dcterms:created>
  <dcterms:modified xsi:type="dcterms:W3CDTF">2025-04-07T14:06:14Z</dcterms:modified>
</cp:coreProperties>
</file>